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\\nas\wzp\Paweł Gierucki\2026\1.WM_2_2026 - most czarna sędziszowska\1 przed otwarciem ofert\2_SWZ i ogłoszenie\WM_2_26 SWZ\10.ROZDZIAŁ II - załącznik nr 4 do oferty kosztorysy ofertowe\"/>
    </mc:Choice>
  </mc:AlternateContent>
  <xr:revisionPtr revIDLastSave="0" documentId="13_ncr:1_{0E999075-8E03-42E4-8F4D-359782B3D5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" sheetId="1" r:id="rId1"/>
    <sheet name="KI ZZK" sheetId="2" r:id="rId2"/>
  </sheets>
  <externalReferences>
    <externalReference r:id="rId3"/>
  </externalReferences>
  <definedNames>
    <definedName name="dane" localSheetId="1">#REF!</definedName>
    <definedName name="dane" localSheetId="0">#REF!</definedName>
    <definedName name="dane">#REF!</definedName>
    <definedName name="kurs">4.2735</definedName>
    <definedName name="_xlnm.Print_Area" localSheetId="1">'KI ZZK'!$B$1:$F$18</definedName>
    <definedName name="_xlnm.Print_Area" localSheetId="0">KO!$B$1:$J$299</definedName>
    <definedName name="_xlnm.Print_Titles" localSheetId="1">'KI ZZK'!$1:$8</definedName>
    <definedName name="_xlnm.Print_Titles" localSheetId="0">KO!$1:$7</definedName>
    <definedName name="WWWW" localSheetId="1">#REF!</definedName>
    <definedName name="WWWW" localSheetId="0">#REF!</definedName>
    <definedName name="WWWW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D12" i="2"/>
  <c r="D11" i="2"/>
  <c r="D10" i="2"/>
  <c r="C10" i="2"/>
  <c r="D9" i="2"/>
  <c r="C11" i="2" l="1"/>
  <c r="C12" i="2" s="1"/>
  <c r="C13" i="2" s="1"/>
  <c r="G291" i="1" l="1"/>
  <c r="G288" i="1"/>
  <c r="G292" i="1" s="1"/>
  <c r="G287" i="1"/>
  <c r="G293" i="1" s="1"/>
  <c r="G286" i="1"/>
  <c r="G283" i="1"/>
  <c r="G284" i="1" s="1"/>
  <c r="G280" i="1"/>
  <c r="G281" i="1" s="1"/>
  <c r="I274" i="1"/>
  <c r="I271" i="1"/>
  <c r="G268" i="1"/>
  <c r="I261" i="1" s="1"/>
  <c r="I256" i="1"/>
  <c r="I249" i="1"/>
  <c r="I240" i="1"/>
  <c r="I236" i="1"/>
  <c r="G233" i="1"/>
  <c r="I217" i="1"/>
  <c r="I215" i="1"/>
  <c r="G195" i="1"/>
  <c r="G194" i="1"/>
  <c r="G192" i="1"/>
  <c r="G190" i="1"/>
  <c r="G188" i="1"/>
  <c r="I186" i="1" s="1"/>
  <c r="G185" i="1"/>
  <c r="G183" i="1"/>
  <c r="G182" i="1"/>
  <c r="I178" i="1"/>
  <c r="G180" i="1"/>
  <c r="G177" i="1"/>
  <c r="I173" i="1"/>
  <c r="G175" i="1"/>
  <c r="G172" i="1"/>
  <c r="G169" i="1"/>
  <c r="G164" i="1"/>
  <c r="G160" i="1"/>
  <c r="G162" i="1" s="1"/>
  <c r="G158" i="1"/>
  <c r="G157" i="1"/>
  <c r="G155" i="1"/>
  <c r="I150" i="1"/>
  <c r="G152" i="1"/>
  <c r="G149" i="1"/>
  <c r="G143" i="1"/>
  <c r="I127" i="1"/>
  <c r="G126" i="1"/>
  <c r="G123" i="1"/>
  <c r="G121" i="1"/>
  <c r="G119" i="1"/>
  <c r="G116" i="1"/>
  <c r="G115" i="1"/>
  <c r="G114" i="1"/>
  <c r="G113" i="1"/>
  <c r="G112" i="1"/>
  <c r="G110" i="1"/>
  <c r="G109" i="1"/>
  <c r="I105" i="1"/>
  <c r="I100" i="1"/>
  <c r="G97" i="1"/>
  <c r="I95" i="1"/>
  <c r="G94" i="1"/>
  <c r="G89" i="1"/>
  <c r="G86" i="1"/>
  <c r="I79" i="1"/>
  <c r="G83" i="1"/>
  <c r="G78" i="1"/>
  <c r="G77" i="1"/>
  <c r="G75" i="1"/>
  <c r="G70" i="1"/>
  <c r="G65" i="1"/>
  <c r="G63" i="1"/>
  <c r="G61" i="1"/>
  <c r="G57" i="1"/>
  <c r="I53" i="1"/>
  <c r="G50" i="1"/>
  <c r="I44" i="1" s="1"/>
  <c r="G43" i="1"/>
  <c r="G40" i="1"/>
  <c r="G35" i="1"/>
  <c r="G32" i="1"/>
  <c r="G31" i="1"/>
  <c r="G29" i="1"/>
  <c r="C24" i="1"/>
  <c r="C25" i="1" s="1"/>
  <c r="I9" i="1"/>
  <c r="C27" i="1" l="1"/>
  <c r="C29" i="1"/>
  <c r="I231" i="1"/>
  <c r="I277" i="1" s="1"/>
  <c r="I84" i="1"/>
  <c r="I133" i="1"/>
  <c r="I20" i="1"/>
  <c r="I37" i="1"/>
  <c r="I285" i="1"/>
  <c r="I117" i="1"/>
  <c r="I153" i="1"/>
  <c r="I165" i="1"/>
  <c r="I68" i="1"/>
  <c r="G235" i="1"/>
  <c r="I279" i="1"/>
  <c r="I282" i="1"/>
  <c r="C30" i="1" l="1"/>
  <c r="I294" i="1"/>
  <c r="I198" i="1"/>
  <c r="I103" i="1"/>
  <c r="C31" i="1"/>
  <c r="I295" i="1" l="1"/>
  <c r="I296" i="1" s="1"/>
  <c r="I297" i="1" s="1"/>
  <c r="C32" i="1"/>
  <c r="C33" i="1" l="1"/>
  <c r="C34" i="1" s="1"/>
  <c r="C35" i="1" s="1"/>
  <c r="C36" i="1" l="1"/>
  <c r="C39" i="1" s="1"/>
  <c r="C40" i="1" l="1"/>
  <c r="C42" i="1" s="1"/>
  <c r="C43" i="1" l="1"/>
  <c r="C46" i="1" s="1"/>
  <c r="C47" i="1" s="1"/>
  <c r="C48" i="1" l="1"/>
  <c r="C50" i="1" s="1"/>
  <c r="C51" i="1" s="1"/>
  <c r="C52" i="1" s="1"/>
  <c r="C55" i="1" s="1"/>
  <c r="C56" i="1" s="1"/>
  <c r="C57" i="1" s="1"/>
  <c r="C59" i="1" s="1"/>
  <c r="C60" i="1" s="1"/>
  <c r="C61" i="1" s="1"/>
  <c r="C63" i="1" s="1"/>
  <c r="C64" i="1" s="1"/>
  <c r="C65" i="1" s="1"/>
  <c r="C67" i="1" s="1"/>
  <c r="C70" i="1" s="1"/>
  <c r="C71" i="1" s="1"/>
  <c r="C73" i="1" s="1"/>
  <c r="C75" i="1" s="1"/>
  <c r="C77" i="1" s="1"/>
  <c r="C78" i="1" s="1"/>
  <c r="C81" i="1" s="1"/>
  <c r="C83" i="1" s="1"/>
  <c r="C86" i="1" s="1"/>
  <c r="C88" i="1" s="1"/>
  <c r="C89" i="1" s="1"/>
  <c r="C90" i="1" s="1"/>
  <c r="C91" i="1" s="1"/>
  <c r="C92" i="1" s="1"/>
  <c r="C94" i="1" s="1"/>
  <c r="C97" i="1" s="1"/>
  <c r="C99" i="1" s="1"/>
  <c r="C102" i="1" s="1"/>
  <c r="C107" i="1" s="1"/>
  <c r="C109" i="1" s="1"/>
  <c r="C110" i="1" s="1"/>
  <c r="C111" i="1" s="1"/>
  <c r="C112" i="1" s="1"/>
  <c r="C113" i="1" s="1"/>
  <c r="C114" i="1" s="1"/>
  <c r="C115" i="1" s="1"/>
  <c r="C116" i="1" s="1"/>
  <c r="C119" i="1" s="1"/>
  <c r="C121" i="1" s="1"/>
  <c r="C123" i="1" s="1"/>
  <c r="C124" i="1" s="1"/>
  <c r="C126" i="1" s="1"/>
  <c r="C129" i="1" s="1"/>
  <c r="C130" i="1" s="1"/>
  <c r="C131" i="1" s="1"/>
  <c r="C132" i="1" s="1"/>
  <c r="C135" i="1" s="1"/>
  <c r="C137" i="1" s="1"/>
  <c r="C139" i="1" s="1"/>
  <c r="C141" i="1" s="1"/>
  <c r="C143" i="1" s="1"/>
  <c r="C145" i="1" s="1"/>
  <c r="C146" i="1" s="1"/>
  <c r="C147" i="1" s="1"/>
  <c r="C149" i="1" s="1"/>
  <c r="C152" i="1" s="1"/>
  <c r="C155" i="1" s="1"/>
  <c r="C157" i="1" s="1"/>
  <c r="C158" i="1" s="1"/>
  <c r="C160" i="1" s="1"/>
  <c r="C162" i="1" s="1"/>
  <c r="C164" i="1" s="1"/>
  <c r="C167" i="1" s="1"/>
  <c r="C169" i="1" s="1"/>
  <c r="C170" i="1" s="1"/>
  <c r="C172" i="1" s="1"/>
  <c r="C175" i="1" s="1"/>
  <c r="C177" i="1" s="1"/>
  <c r="C180" i="1" s="1"/>
  <c r="C182" i="1" s="1"/>
  <c r="C183" i="1" s="1"/>
  <c r="C185" i="1" s="1"/>
  <c r="C188" i="1" s="1"/>
  <c r="C190" i="1" s="1"/>
  <c r="C192" i="1" s="1"/>
  <c r="C194" i="1" s="1"/>
  <c r="C195" i="1" s="1"/>
  <c r="C197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9" i="1" s="1"/>
  <c r="C221" i="1" s="1"/>
  <c r="C223" i="1" s="1"/>
  <c r="C224" i="1" s="1"/>
  <c r="C225" i="1" s="1"/>
  <c r="C226" i="1" s="1"/>
  <c r="C227" i="1" s="1"/>
  <c r="C228" i="1" s="1"/>
  <c r="C230" i="1" s="1"/>
  <c r="C233" i="1" s="1"/>
  <c r="C235" i="1" s="1"/>
  <c r="C238" i="1" s="1"/>
  <c r="C239" i="1" s="1"/>
  <c r="C242" i="1" s="1"/>
  <c r="C243" i="1" s="1"/>
  <c r="C245" i="1" s="1"/>
  <c r="C246" i="1" s="1"/>
  <c r="C248" i="1" s="1"/>
  <c r="C251" i="1" s="1"/>
  <c r="C253" i="1" s="1"/>
  <c r="C255" i="1" s="1"/>
  <c r="C258" i="1" s="1"/>
  <c r="C260" i="1" s="1"/>
  <c r="C263" i="1" s="1"/>
  <c r="C264" i="1" s="1"/>
  <c r="C265" i="1" s="1"/>
  <c r="C266" i="1" s="1"/>
  <c r="C268" i="1" s="1"/>
  <c r="C270" i="1" s="1"/>
  <c r="C273" i="1" s="1"/>
  <c r="C276" i="1" s="1"/>
  <c r="C280" i="1" s="1"/>
  <c r="C281" i="1" s="1"/>
  <c r="C283" i="1" s="1"/>
  <c r="C284" i="1" s="1"/>
  <c r="C286" i="1" s="1"/>
  <c r="C287" i="1" s="1"/>
  <c r="C288" i="1" s="1"/>
  <c r="C289" i="1" s="1"/>
  <c r="C290" i="1" s="1"/>
  <c r="C291" i="1" s="1"/>
  <c r="C292" i="1" s="1"/>
  <c r="C293" i="1" s="1"/>
</calcChain>
</file>

<file path=xl/sharedStrings.xml><?xml version="1.0" encoding="utf-8"?>
<sst xmlns="http://schemas.openxmlformats.org/spreadsheetml/2006/main" count="593" uniqueCount="347">
  <si>
    <t>dla zadania „Rozbudowa drogi wojewódzkiej nr 987 Kolbuszowa – Sędziszów Małopolski polegająca na budowie mostu w km 15+427 na rz. Czarna Rzeczka wraz z rozbudową dojazdów oraz rozbiórką, budową i przebudową infrastruktury technicznej, budowli i urządzeń budowlanych w m. Czarna Sędziszowska”</t>
  </si>
  <si>
    <t>KOD CPV:</t>
  </si>
  <si>
    <t>45233140-2 Roboty drogowe</t>
  </si>
  <si>
    <t>45221111-3 Mosty drogowe</t>
  </si>
  <si>
    <t>Lp.</t>
  </si>
  <si>
    <t>Numer Specyfikacji Technicznej</t>
  </si>
  <si>
    <t>Wyszczególnienie elementów rozliczeniowych</t>
  </si>
  <si>
    <t>Jednostka</t>
  </si>
  <si>
    <t>Cena jedn.[zł]</t>
  </si>
  <si>
    <t>Wartość [zł netto]</t>
  </si>
  <si>
    <t>Nazwa</t>
  </si>
  <si>
    <t>Ilość</t>
  </si>
  <si>
    <t>2</t>
  </si>
  <si>
    <t>CZĘŚĆ DROGOWA - DROGA DOCELOWA</t>
  </si>
  <si>
    <t>DM.00.00.00</t>
  </si>
  <si>
    <t>WYMAGANIA OGÓLNE</t>
  </si>
  <si>
    <t>1</t>
  </si>
  <si>
    <t>Koszt dostosowania się do wymagań Warunków Kontraktu i Wymagań Ogólnych zawartych w Specyfikacji Technicznej D-M. 00.00.00, a w tym m.in.:</t>
  </si>
  <si>
    <t>ryczałt</t>
  </si>
  <si>
    <t>przestrzeganie zapisów decyzji środowiskowej i uzgodnień RDOŚ</t>
  </si>
  <si>
    <t>monitoring obiektów i budynków znajdujących się w pobliżu robót</t>
  </si>
  <si>
    <t>rozpoznanie saperskie wraz z usunięciem niewypałów</t>
  </si>
  <si>
    <t>Koszt wykonania projektów technologicznych, wymienionych w STWiORB i dokumentacji projektowej</t>
  </si>
  <si>
    <t>Koszt wykonania rusztowań, deskowań i innych prac tymczasowych niezbędnych do wykonania robót zgodnie z projektem i warunkami kontraktu</t>
  </si>
  <si>
    <t xml:space="preserve">Koszt opracowania receptur i wykonania badań dla wszystkich materiałów do wykonania robót, w tym min. dla betonów, zapraw, materiałów kamiennych, itp.. </t>
  </si>
  <si>
    <t>Koszt odtworzenia pasa drogowego</t>
  </si>
  <si>
    <t>Koszt wprowadzenia i utrzymania czasowej organizacji ruchu</t>
  </si>
  <si>
    <t>Koszt utrzymania zaplecza Wykonawcy robót</t>
  </si>
  <si>
    <t>D.01.00.00</t>
  </si>
  <si>
    <t>ROBOTY PRZYGOTOWAWCZE</t>
  </si>
  <si>
    <t>D.01.01.01</t>
  </si>
  <si>
    <t>Odtworzenie trasy i punktów wysokościowych</t>
  </si>
  <si>
    <t>- Roboty pomiarowe dla potrzeb budowy mostu z dojazdami wraz z wykonianiem geodezyjnej dokumentacji powykonawczej wraz z:
-        obowiązek dokonania po zakończeniu robót budowlanych, stabilizacji znakami granicznymi punktów załamania granic pasa drogowego – nowych działek nabytych na potrzeby realizacji inwestycji oraz odtworzenia istniejących znaków granicznych pasa drogowego w sytuacji ich zniszczenia w trakcie prowadzonych robót budowlanych, ponadto Wyknawca ma obowiązek:
-        odtworzenia znaków punktów osnowy geodezyjnej, usytuowanych w terenie objętym zakresem inwestycji, w sytuacji, gdy ulegną zniszczeniu, bądź w sytuacji kolizji z zakresem inwestycji.</t>
  </si>
  <si>
    <t>km</t>
  </si>
  <si>
    <t>D.01.02.01</t>
  </si>
  <si>
    <t>Usunięcie drzew i krzewów</t>
  </si>
  <si>
    <t xml:space="preserve"> - Wycinka drzew</t>
  </si>
  <si>
    <t>szt.</t>
  </si>
  <si>
    <t xml:space="preserve"> - Usunięcie krzewów</t>
  </si>
  <si>
    <t>ha</t>
  </si>
  <si>
    <t>D.01.02.02</t>
  </si>
  <si>
    <t>Zdjęcie  warstwy  humusu  i/lub darniny</t>
  </si>
  <si>
    <t>- Zdjęcie warstwy humusu gr. 15cm</t>
  </si>
  <si>
    <r>
      <t>m</t>
    </r>
    <r>
      <rPr>
        <vertAlign val="superscript"/>
        <sz val="10"/>
        <rFont val="Arial"/>
        <family val="2"/>
        <charset val="238"/>
      </rPr>
      <t>2</t>
    </r>
  </si>
  <si>
    <t>Rozbiórki</t>
  </si>
  <si>
    <t>D.05.03.11</t>
  </si>
  <si>
    <t>Frezowanie warstw nawierzchni jezdni bitumicznej gr.16 cm wraz z wywozem na miejsce wskazane przez Zamawiającego i z utylizacją</t>
  </si>
  <si>
    <t>Frezowanie warstw nawierzchni jezdni bitumicznej gr.4 cm wraz z wywozem na miejsce wskazane przez Zamawiającego i z utylizacją - dodatkowy zakres wymiany warstwy ścieralnej</t>
  </si>
  <si>
    <r>
      <t>m</t>
    </r>
    <r>
      <rPr>
        <vertAlign val="superscript"/>
        <sz val="10"/>
        <rFont val="Arial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</si>
  <si>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D.01.02.03</t>
  </si>
  <si>
    <t>Rozbióka podbudowy z kruszyw o gr. 20 cm wraz z wywozem na wysypisko Wykonwcy i z utylizacją</t>
  </si>
  <si>
    <t>Rozbiórka barier drogowych wraz z wywozem na wysypisko Wykonwcy i z utylizacją</t>
  </si>
  <si>
    <t>m</t>
  </si>
  <si>
    <t>Rozbiórka korytek ściekowych wraz z wywozem na wysypisko Wykonwcy i z utylizacją</t>
  </si>
  <si>
    <t>Rozbiórka przepustów wraz z wylotami wraz z wywozem na wysypisko Wykonwcy i z utylizacją</t>
  </si>
  <si>
    <t>Rozbiórka wylotu przepustu wraz z wywozem na wysypisko Wykonwcy i z utylizacją</t>
  </si>
  <si>
    <r>
      <t>m</t>
    </r>
    <r>
      <rPr>
        <vertAlign val="superscript"/>
        <sz val="10"/>
        <rFont val="Arial"/>
        <family val="2"/>
        <charset val="238"/>
      </rPr>
      <t>3</t>
    </r>
  </si>
  <si>
    <t>Rozbiórka nieczynnej sieci gazowej przy zachowaniu zasad wykonywania robóbt BHP przy sieci gazowej z odpowietrzniem i zabezpieczeniem rozbieranego odcinka, z zabezpieczeniem (zamknięciem z sączkiem węchowym)  pozostawionego rurociągu oraz z wywozem materiałow z rozbiorki na wysypisko Wykonwcy i z utylizacją</t>
  </si>
  <si>
    <t>D.02.00.00</t>
  </si>
  <si>
    <t>ROBOTY ZIEMNE</t>
  </si>
  <si>
    <t>D.02.01.01</t>
  </si>
  <si>
    <t xml:space="preserve">Wykonanie wykopów </t>
  </si>
  <si>
    <t>-  Wykop pod nawierzchnie drogowe w gruntach niespoistych w etapowaniu robót wraz z zabezpieczeniem wykopów np. za pomocą ścianek szczelnych wraz wywieziem i utylizacją gruntu z wykopu</t>
  </si>
  <si>
    <t>-  Wykop pod wymianę gruntu w etapowaniu robót wraz z zabezpieczeniem wykopów np. za pomocą ścianek szczelnych, wraz wywieziem i utylizacją gruntu z wykopu</t>
  </si>
  <si>
    <t>D.02.03.01</t>
  </si>
  <si>
    <t>Wykonanie nasypów</t>
  </si>
  <si>
    <t xml:space="preserve">Wykonanie nasypów w etapowaniu robót z gruntu niewysadzinowego  zakupionego i dostarczonego przez Wykonawcę, pod pobocza i dla uzupełnienia konstrukcji drogi wraz z zabezpieczeniem wykopów np. za pomocą ścianek szczelnych </t>
  </si>
  <si>
    <t xml:space="preserve">Wykonanie zasypek dla wymiany gruntu w etapowaniu robót  z materiału niewysadzinowego  zakupionego i dostarczonego przez Wykonawcę, pod pobocza i dla uzupełnienia konstrukcji drogi wraz z zabezpieczeniem wykopów np. za pomocą ścianek szczelnych </t>
  </si>
  <si>
    <t>D.03.00.00</t>
  </si>
  <si>
    <t>ODWODNIENIE  KORPUSU DROGOWEGO</t>
  </si>
  <si>
    <t>D.03.01.01</t>
  </si>
  <si>
    <t>Przepusty</t>
  </si>
  <si>
    <t>-  Wykonanie przepustu pod łącznikiem dojazdowym DN 700</t>
  </si>
  <si>
    <t>-  Wykonanie przepustu - wylotu Wr-1 kanalizacji deszczowej  DN 900</t>
  </si>
  <si>
    <t>-  Wykonanie umocnienia wylotów przepustów</t>
  </si>
  <si>
    <t>m2</t>
  </si>
  <si>
    <t>D.03.02.01</t>
  </si>
  <si>
    <t xml:space="preserve">Kanalizacja deszczowa  </t>
  </si>
  <si>
    <t>Kanały z rur PVC SN8 łączonych na wcisk o śr. zewn. 200 mm wraz z kształtkami PCV SN8</t>
  </si>
  <si>
    <t>Wykonanie studzienek kanalizacyjnych DN 500 z wpustem</t>
  </si>
  <si>
    <t>Wykonanie wylotów odwodnienia</t>
  </si>
  <si>
    <t>D.04.00.00</t>
  </si>
  <si>
    <t>PODBUDOWY</t>
  </si>
  <si>
    <t>D.04.04.01</t>
  </si>
  <si>
    <t>Korytowanie z profilowaniem i zagęszczeniem podłoża</t>
  </si>
  <si>
    <t>- Korytowanie z zagęszczeniem podłoża od nawierzchnię jezdni drogowej</t>
  </si>
  <si>
    <t>- Korytowanie z zagęszczeniem podłoża pod nawierzchnię drogi pieszo-rowerowej</t>
  </si>
  <si>
    <t>- Korytowanie z zagęszczeniem podłoża pod nawierzchnię dróg technologicznych i zjazdów</t>
  </si>
  <si>
    <t>D.04.02.02</t>
  </si>
  <si>
    <t>Warstwa ulepszonego podłoża i pomocnicze</t>
  </si>
  <si>
    <t>Warstwy ulepszonego podłoża z mieszanki niezwiązanej lub grunt niewysadzinowy o CBR &gt;=20%, gr. 40 cm pod nawierzchnię jezdni drogowej</t>
  </si>
  <si>
    <t>Podbudowa pomocnicza  z mieszanki niezwiązanej o CBR &gt;=60% gr. 24 cm pod nawierzchnię jezdni drogowej</t>
  </si>
  <si>
    <t>Warstwy ulepszonego podłoża z mieszanki niezwiązanej -piasek, gr. 15 cm pod nawierzchnię dróg technologicznych i zjazdów</t>
  </si>
  <si>
    <t>D.04.04.02</t>
  </si>
  <si>
    <t>Podbudowa z kruszywa łamanego stabilizowanego mechanicznie</t>
  </si>
  <si>
    <t>-Podbudowa zasadnicza z kruszywa łamanego stabilizowanego mechanicznie C90/3 gr. 20cm pod nawierzchnię jezdni drogowej</t>
  </si>
  <si>
    <t>-Podbudowa zasadnicza z kruszywa łamanego stabilizowanego mechanicznie C90/3 gr. 23cm pod nawierzchnię drogi pieszo-rowerowej</t>
  </si>
  <si>
    <t>'- Podbudowa zasadnicza z - podbudowa zasadnicza z tłuczenia 31,5/63 klinowana klińcem 4/20  gr. 15cm pod nawierzchnię dróg technologicznych i zjazdów</t>
  </si>
  <si>
    <t xml:space="preserve">D.04.07.01 </t>
  </si>
  <si>
    <t xml:space="preserve">Podbudowa zasadnicza </t>
  </si>
  <si>
    <t>- Podbudowa zasadnicza AC22 P o grubości po zagęszczeniu 7 cm wraz z oczyszczeniem i skropieniem podbudowy z kruszywa przed ułożeniem pod nawierzchnię jezdni drogowej</t>
  </si>
  <si>
    <t>D.05.00.00.</t>
  </si>
  <si>
    <t>NAWIERZCHNIE</t>
  </si>
  <si>
    <t>D.05.02.02</t>
  </si>
  <si>
    <t>Nawierzchnia z kruszyw</t>
  </si>
  <si>
    <t>Nawierzchnia z tłucznia 31,5/63 klinowana klińcem 4/20 i kruszywem drobnym 0,075/4, gr. 10 cm</t>
  </si>
  <si>
    <t>Nawierzchnie ścieżek i chodników z kruszywa łamanego stabilizowanego mechanicznie C90/3 gr. 7cm</t>
  </si>
  <si>
    <t>D.05.03.03B</t>
  </si>
  <si>
    <t>Warstwa wiążąca</t>
  </si>
  <si>
    <t>Nawierzchnie z betonu asfaltowego AC16W o grubości 5 cm (warstwa wiążąca) wraz z oczyszczeniem i skropieniem podbudowy z betonu asfaltowego przed ułożeniem</t>
  </si>
  <si>
    <t>D.05.03.03A</t>
  </si>
  <si>
    <t>Warstwa ścieralna z AC11S</t>
  </si>
  <si>
    <t>Nawierzchnia z AC11S o grubości po zagęszczeniu 4 cm (warstwa ścieralna) wraz z oczyszczeniem i skropieniem warstwy wiążącej z betonu asfaltowego przed ułożeniem wraz z  dodatkowym zakresem wymiany warstwy ścieralnej</t>
  </si>
  <si>
    <t>D.05.03.26</t>
  </si>
  <si>
    <t>Wykonanie połączeń między starą i nową nawierzchnią</t>
  </si>
  <si>
    <t>- Połączenia między starą a nową nawierzchnią geosiatką szklaną
8*2*2</t>
  </si>
  <si>
    <t>- Siatka zbrojąca pod warstwą ścieralną nad obiektem i dojazdami</t>
  </si>
  <si>
    <t>D.06.00.00.</t>
  </si>
  <si>
    <t>ROBOTY WYKOŃCZENIOWE</t>
  </si>
  <si>
    <t>D.06.03.01</t>
  </si>
  <si>
    <t>Pobocza</t>
  </si>
  <si>
    <t xml:space="preserve">- Umocnienie poboczy drogi i zjazdów kruszywem gr. 15 cm </t>
  </si>
  <si>
    <t>D.06.04.01</t>
  </si>
  <si>
    <t>Rowy</t>
  </si>
  <si>
    <t xml:space="preserve">- wykonanie rowów o szer. dna 40 cm </t>
  </si>
  <si>
    <t>D.07.00.00.</t>
  </si>
  <si>
    <t>URZĄDZENIA BEZPIECZEŃSTWA RUCHU</t>
  </si>
  <si>
    <t>D.07.01.01</t>
  </si>
  <si>
    <t>Oznakowanie poziome -Stała organizacja ruchu</t>
  </si>
  <si>
    <t>Oznakowanie poziome wykonane w technolgii grubowarstwowej</t>
  </si>
  <si>
    <t>D.07.02.01</t>
  </si>
  <si>
    <t>Oznakowanie pionowe -Stała organizacja ruchu</t>
  </si>
  <si>
    <t>Demontaż znaków</t>
  </si>
  <si>
    <t>Demontaż słupków i znaów hektometrowych</t>
  </si>
  <si>
    <t>Montaż znaków</t>
  </si>
  <si>
    <t xml:space="preserve">Montaż słupków </t>
  </si>
  <si>
    <t>Montaż znaków hektometrowych</t>
  </si>
  <si>
    <t>D.07.05.01</t>
  </si>
  <si>
    <t>Bariery na dojazdach</t>
  </si>
  <si>
    <t xml:space="preserve">- Montaż barier ochronnych stalowych oraz odcinków przejściowych barieroporęczy mocowanych w gruncie zgodne z PN EN 1317 </t>
  </si>
  <si>
    <t>D.08.00.00</t>
  </si>
  <si>
    <t>ELEMENTY DRÓG</t>
  </si>
  <si>
    <t>D.08.01.01</t>
  </si>
  <si>
    <t>Krawężniki betonowe</t>
  </si>
  <si>
    <t>- Krawężniki betonowe o wym. 20/30cm na ławie betonowej z betonu C12/15,</t>
  </si>
  <si>
    <t>D.08.03.01</t>
  </si>
  <si>
    <t>Obrzeża betonowe</t>
  </si>
  <si>
    <t>- Obrzeża drogowe na ławie betonowej z oporem, z betonu C12/15</t>
  </si>
  <si>
    <t>D.09.00.00</t>
  </si>
  <si>
    <t>ZIELEŃ DROGOWA</t>
  </si>
  <si>
    <t>D.09.01.01</t>
  </si>
  <si>
    <t>Odtworzenie zieleni i humusowanie</t>
  </si>
  <si>
    <t xml:space="preserve">- Humusowanie skarp nasypów gr. 15cm
</t>
  </si>
  <si>
    <t>SUMA [NETTO ZŁ]:</t>
  </si>
  <si>
    <t>CZĘŚĆ MOSTOWA - MOST NA BELKACH TYPU KUJAN</t>
  </si>
  <si>
    <t>Obsługa geodezyjna</t>
  </si>
  <si>
    <t>Wytyczenie obiektu</t>
  </si>
  <si>
    <t>Rozbiórka obiektu</t>
  </si>
  <si>
    <t>Rozbiórka nawierzchni mostu</t>
  </si>
  <si>
    <t>Rozbiórka izolacji mostu</t>
  </si>
  <si>
    <t>Demontaż wpustów</t>
  </si>
  <si>
    <t>Demontaż balustrad mostu</t>
  </si>
  <si>
    <t>Demntaż balustrad schodów skarpowych</t>
  </si>
  <si>
    <t>Demontaż elementów żelbetowych mostu</t>
  </si>
  <si>
    <t>Demontaż elementów żelbetowych schodów skarpowych</t>
  </si>
  <si>
    <t>Rozbiórka umocnień skarp</t>
  </si>
  <si>
    <t>FUNDAMENTOWANIE</t>
  </si>
  <si>
    <t>M.11.01.01</t>
  </si>
  <si>
    <t>Wykonanie wykopów fundamentowych</t>
  </si>
  <si>
    <t>Wykonanie wykopów w gruntach nieskalistych - do utylizacji</t>
  </si>
  <si>
    <t>M.11.01.04</t>
  </si>
  <si>
    <t>Zasypanie wykopów z zagęszczeniem</t>
  </si>
  <si>
    <t xml:space="preserve">Zasypanie wykopów z zagęszczeniem z gruntu przepuszczalnego </t>
  </si>
  <si>
    <t>M.11.03.08</t>
  </si>
  <si>
    <t>Pale prefabrykowane</t>
  </si>
  <si>
    <t>Wykonanie pali prefabrykowanych 40x40 cm, dł. 14 m</t>
  </si>
  <si>
    <t>Probne obciążenie pala</t>
  </si>
  <si>
    <t>M.11.04.01</t>
  </si>
  <si>
    <t>Zabezpieczenie wykopów</t>
  </si>
  <si>
    <t xml:space="preserve">Wbicie ścianek szczelnych </t>
  </si>
  <si>
    <t>ZBROJENIE</t>
  </si>
  <si>
    <t>M.12.01.03</t>
  </si>
  <si>
    <t>Zbrojenie stalą klasy AIIIN (B500SP)</t>
  </si>
  <si>
    <t>- fundamentów</t>
  </si>
  <si>
    <t>kg</t>
  </si>
  <si>
    <t>- ustroju nośnego</t>
  </si>
  <si>
    <t>- kap chodnikowych</t>
  </si>
  <si>
    <t>- płyt przejściowych</t>
  </si>
  <si>
    <t>BETON</t>
  </si>
  <si>
    <t>M.13.01.01</t>
  </si>
  <si>
    <t>Beton fundamentów</t>
  </si>
  <si>
    <t>Fundament C30/37</t>
  </si>
  <si>
    <t>Beton ramy</t>
  </si>
  <si>
    <t>Beton konstrukcji ramy C30/37</t>
  </si>
  <si>
    <t>Beton kap</t>
  </si>
  <si>
    <t>Beton kap prostych C35/45</t>
  </si>
  <si>
    <t>Beton płyt przejściowych</t>
  </si>
  <si>
    <t>Beton płyt przejściowych C30/37</t>
  </si>
  <si>
    <t>Beton niekonstrukcyjny</t>
  </si>
  <si>
    <t>Beton niekonstrukcyjny C16/20</t>
  </si>
  <si>
    <t>M.13.03.02</t>
  </si>
  <si>
    <t>Prefabrykaty betonowe</t>
  </si>
  <si>
    <t>Prefabrykowane belki typu "Kujan NG12/890" Wydłużona L=14,0m</t>
  </si>
  <si>
    <t>Prefabrykowane belki typu "Kujan NG12/890W" Wydłużona L=14,0m</t>
  </si>
  <si>
    <t>Prefabrykowane belki typu "Kujan NG12/590" Wydłużona L=14,0m</t>
  </si>
  <si>
    <t>M.13.03.01</t>
  </si>
  <si>
    <t>Prefabrykaty polimerobetonowe</t>
  </si>
  <si>
    <t>Prefabrykowane deski gzymsowe z polimerobetonu 1000x500x40mm</t>
  </si>
  <si>
    <t>KONSTRUKCJE STALOWE</t>
  </si>
  <si>
    <t>Drobne elementy stalowe</t>
  </si>
  <si>
    <t xml:space="preserve">Kotwy kap </t>
  </si>
  <si>
    <t>IZOLACJE I NAWIERZCHNIE</t>
  </si>
  <si>
    <t>M.15.01.02</t>
  </si>
  <si>
    <t>Izolacja cienka</t>
  </si>
  <si>
    <t>Izolacja cienka bitumiczna</t>
  </si>
  <si>
    <t>M.15.01.03</t>
  </si>
  <si>
    <t>Izolacja gruba</t>
  </si>
  <si>
    <t>Izolacja gruba z papy zgrzewalnej-jednowarstwowa na powierzchni ustroju nośnego i płyt przejściowych</t>
  </si>
  <si>
    <t>Izolacja gruba z papy zgrzewalnej-dwuwarstwowa - dodatkowa warstwa pod kapami chodnikowymi</t>
  </si>
  <si>
    <t>M.15.04.02</t>
  </si>
  <si>
    <t>Nawierzchnia jezdni-warstwa wiążąca</t>
  </si>
  <si>
    <t>Nawierzchnia jezdni z asfaltu lanego MA11 - warstwa wiążąca o grubości 5 cm na moście i dojazdach</t>
  </si>
  <si>
    <t>D.05.03.05A</t>
  </si>
  <si>
    <t>Nawierzchnia jezdni-warstwa ścieralna</t>
  </si>
  <si>
    <t>Nawierzchnia jezdni z AC11S- warstwa ścieralna o grubości 4,0cm</t>
  </si>
  <si>
    <t>M.15.04.07</t>
  </si>
  <si>
    <t>Nawierzchnia na kapach</t>
  </si>
  <si>
    <t>Nawierzchnia na kapach bitumiczno-polimerowa gr. 6mm</t>
  </si>
  <si>
    <t>ODWODNIENIE</t>
  </si>
  <si>
    <t>M.16.01.01</t>
  </si>
  <si>
    <t>Wpusty mostowe</t>
  </si>
  <si>
    <t>Wpusty mostowe żeliwne</t>
  </si>
  <si>
    <t>M.16.01.03</t>
  </si>
  <si>
    <t>Odwodnienie izolacji pomostu</t>
  </si>
  <si>
    <t>Drenaż prefabrykowany z zywic i geowókniny</t>
  </si>
  <si>
    <t>Sączki Ø 50</t>
  </si>
  <si>
    <t>M.20.01.02</t>
  </si>
  <si>
    <t xml:space="preserve">Drenaż </t>
  </si>
  <si>
    <t>Rurka drenarska PCV Ø 113 za płytami przejsciowymi</t>
  </si>
  <si>
    <t>DYLATACJE</t>
  </si>
  <si>
    <t>M.18.04.02</t>
  </si>
  <si>
    <t>Uciąglenie nawierzchni</t>
  </si>
  <si>
    <t>Uciąglenie nawierzchni z nacięciem warstwy ścieralnej z wypełnieneim nacięcia masą trwale plastyczną</t>
  </si>
  <si>
    <t>M.18.04.01</t>
  </si>
  <si>
    <t>Zabezpieczenie szczelin dylatacyjnych</t>
  </si>
  <si>
    <t>Zabezpieczenie szczelin dylatacyjnych dylatacji pozornych</t>
  </si>
  <si>
    <t>ELEMENTY ZABEZPIECZAJĄCE</t>
  </si>
  <si>
    <t>M.19.01.01</t>
  </si>
  <si>
    <t>Krawężniki kamienne</t>
  </si>
  <si>
    <t>Krawężnik mostowy kamienny 20x20 na podlewce niskoskurczowej</t>
  </si>
  <si>
    <t>M.19.01.04</t>
  </si>
  <si>
    <t>Balustrady</t>
  </si>
  <si>
    <t>Balustrada na moście</t>
  </si>
  <si>
    <t>mb</t>
  </si>
  <si>
    <t>Balustrada schodów skarpowych</t>
  </si>
  <si>
    <t>M.19.01.02</t>
  </si>
  <si>
    <t>Bariery ochronnena obiektach mostowych</t>
  </si>
  <si>
    <t xml:space="preserve">Bariery ochronne na obiektach mostowych </t>
  </si>
  <si>
    <t>INNE ROBOTY MOSTOWE</t>
  </si>
  <si>
    <t>M.20.04.06</t>
  </si>
  <si>
    <t>Rury osłonowe</t>
  </si>
  <si>
    <t>Rury osłonowe RHDPE fi 110mm</t>
  </si>
  <si>
    <t>M.20.01.11</t>
  </si>
  <si>
    <t>Umocnienie skarp i powierzchni poziomych</t>
  </si>
  <si>
    <t>Umocnienie skarp i powierzchni poziomych kamieniem zatopionym w betonie</t>
  </si>
  <si>
    <t>M.20.01.09</t>
  </si>
  <si>
    <t>Schody skarpowe</t>
  </si>
  <si>
    <t>Schody skarpowe [22 stopnie betonowe prefabrykowane, obrzeża betonowe 18 szt, balustrady 68 kg na fundmantach- 6 szt.]</t>
  </si>
  <si>
    <t>M.20.01.08</t>
  </si>
  <si>
    <t>Zabezpieczenie antykorozyjne powierzchni betonowych</t>
  </si>
  <si>
    <t>Zabezpieczenie powłoką malarską bez zdolności pokrywania rys belek typu Kujan</t>
  </si>
  <si>
    <t>Zabezpieczenie powłoką malarską z minimalną zdolnością pokrywania rys</t>
  </si>
  <si>
    <t>M.20.10.01</t>
  </si>
  <si>
    <t>Repery</t>
  </si>
  <si>
    <t>Znaki wysokościowe na obiekcie</t>
  </si>
  <si>
    <t>CZĘŚĆ DROGOWA - TELETECHNICZNA</t>
  </si>
  <si>
    <t>D.01.03.04</t>
  </si>
  <si>
    <t>Wykonanie kanału technologicznego</t>
  </si>
  <si>
    <t>Wykopy (grunt do wywozu) wraz z umocnieniem ścian wykopu</t>
  </si>
  <si>
    <t>m3</t>
  </si>
  <si>
    <t>Wywóz nadmiaru gruntu samochodami samowyładowczymi na składowisko wraz z kosztem składowania i utylizacji</t>
  </si>
  <si>
    <t>Budowa studni kablowych prefabrykowanych SKO-2g</t>
  </si>
  <si>
    <t>Montaż elementów mechanicznej ochrony przed ingerencją osób nieuprawnionych w studniach kablowych - montaż pokryw dodatkowych z listwami, rama lekka</t>
  </si>
  <si>
    <t>Końcowa regulacja wysokościowa studni kablowych</t>
  </si>
  <si>
    <t>Budowa kanalizacji kablowej KTu z rury RO (1xRHDPEk-S 110/6.3) z uszczelnieniem otworów i połączeń</t>
  </si>
  <si>
    <t>Budowa kanalizacji kablowej KTu z rury RS (3x40x3.7) z uszczelnieniem otworów i połączeń</t>
  </si>
  <si>
    <t>Budowa kanalizacji kablowej KTu z rury WMR (1x40x3.7) z uszczelnieniem otworów i połączeń</t>
  </si>
  <si>
    <t>Budowa kanalizacji kablowej KTp z rury RO (2xRHDPEp 110/6.3) z uszczelnieniem otworów i połączeń</t>
  </si>
  <si>
    <t>Budowa kanalizacji kablowej KTp z rury RS (3x40x3.7) z uszczelnieniem otworów i połączeń</t>
  </si>
  <si>
    <t>Budowa kanalizacji kablowej KTp z rury WMR (1x40x3,7) z uszczelnieniem otworów i połączeń</t>
  </si>
  <si>
    <t>Zasypywanie wykopów liniowych dowiezionym, nowym gruntem zasypowym</t>
  </si>
  <si>
    <t>Podłoża pod kanały i obiekty z materiałów sypkich grubości 10 cm (podsypka)</t>
  </si>
  <si>
    <t>Podłoża pod kanały i obiekty wykonywane z betonu C12/15, o grubości 15 cm -  pod studnie</t>
  </si>
  <si>
    <t>CZĘŚĆ DROGOWA - OBJAZD TYMCZASOWY</t>
  </si>
  <si>
    <t xml:space="preserve">- Roboty pomiarowe dla potrzeb budowy mostu tymczasowegoz dojazdami </t>
  </si>
  <si>
    <t>Frezowanie warstw nawierzchni jezdni bitumicznej tymczasowej gr.16 cm wraz z wywozem na miejsce wskazane przez Zamawiającego i z utylizacją</t>
  </si>
  <si>
    <t>Rozbióka podbudowy drogi tymczasowej z kruszyw o gr. 20 cm wraz z wywozem na wysypisko Wykonwcy i z utylizacją</t>
  </si>
  <si>
    <t>Rozbióka chodnika z kruszyw</t>
  </si>
  <si>
    <t>Rozbiórka barier drogowych tymczasowych wraz z wywozem na wysypisko Wykonwcy i z utylizacją</t>
  </si>
  <si>
    <t>Rozbiórka balustrad drogowych tymczasowych</t>
  </si>
  <si>
    <t>Rozbiórka krawężników</t>
  </si>
  <si>
    <t>D.01.02.05</t>
  </si>
  <si>
    <t xml:space="preserve">Zabezpieczenie sieci </t>
  </si>
  <si>
    <t>Zabezpieczenie istniejącego słupa teletechncznego (np. poprzez wbicie ścianke szczelnych)</t>
  </si>
  <si>
    <t>kpl.</t>
  </si>
  <si>
    <t>-  Wykop - likwidacja nasypu tymczasowego</t>
  </si>
  <si>
    <t>Wykonanie nasypów tymczasowych z gruntu niewysadzinowego  zakupionego i dostarczonego przez Wykonawcę</t>
  </si>
  <si>
    <t>-  Wykonanie przepustu tymczasowego DN900</t>
  </si>
  <si>
    <t>-  Wykonanie tymczasowej studni łącznikowej pomiędzy istniejącym przepustem DN 1800 a przepustem tymczasowym</t>
  </si>
  <si>
    <t>- Korytowanie z zagęszczeniem podłoża pod chodnik z kruszyw</t>
  </si>
  <si>
    <t>-Podbudowa zasadnicza z kruszywa łamanego stabilizowanego mechanicznie C90/3 gr. 15cm pod nawierzchnię drogi pieszo-rowerowej</t>
  </si>
  <si>
    <t>Nawierzchnie z kruszywa łamanego stabilizowanego mechanicznie C90/3 gr. 15cm</t>
  </si>
  <si>
    <t>D.05.03.03 B</t>
  </si>
  <si>
    <t>Warstwa ścieralna z AC</t>
  </si>
  <si>
    <t>Nawierzchnia z AC11S o grubości po zagęszczeniu 4 cm (warstwa ścieralna) wraz z oczyszczeniem i skropieniem warstwy wiążącej z betonu asfaltowego przed ułożeniem</t>
  </si>
  <si>
    <t>Oznakowanie pionowe -czasowa organizacja ruchu</t>
  </si>
  <si>
    <t>Demontaż słupków</t>
  </si>
  <si>
    <t>Montaż słupków</t>
  </si>
  <si>
    <t>D.07.06.01</t>
  </si>
  <si>
    <t>Balustrady na dojazdach</t>
  </si>
  <si>
    <t xml:space="preserve">- Montaż balustrad drogowych tymczasowych U-11a na dojazdach </t>
  </si>
  <si>
    <t>CZĘŚĆ DROGOWA - MOST TYMCZASOWY</t>
  </si>
  <si>
    <t>Fundamentowanie</t>
  </si>
  <si>
    <t>Wbijanie ścianek szczelnych stalowych</t>
  </si>
  <si>
    <t>Wyciąganie ścianek szczelnych stalowych po zakończniu funkcjonowania mostu</t>
  </si>
  <si>
    <t>Roboty ziemne</t>
  </si>
  <si>
    <t>Formowanie nasypu i zasypek w rejonie mostu tymczasowego</t>
  </si>
  <si>
    <t>Roboty ziemne wykon. koparkami. - likwidacja nasypu</t>
  </si>
  <si>
    <t>Konstrukcja obiektu</t>
  </si>
  <si>
    <t>Podkłady z piasku pod płyty tymczasowe z zagęszczeniem</t>
  </si>
  <si>
    <t>M.13.01.00</t>
  </si>
  <si>
    <t>Układanie fundmanetów  z płyt żelbetowych</t>
  </si>
  <si>
    <t>Fundament betonowy tymczasowy</t>
  </si>
  <si>
    <t xml:space="preserve">m3 </t>
  </si>
  <si>
    <t>Ścianki oporowe z prefabrykatów typu L - ścianki zapleczne konstrukcji tymczasowej</t>
  </si>
  <si>
    <t>Most składany wraz z kosztem wynajęcia, budowy, utrzymania i likwidacji</t>
  </si>
  <si>
    <t>Rozebranie ścianek oporowych typu L</t>
  </si>
  <si>
    <t>Rozbiórka fundamentów betonowych</t>
  </si>
  <si>
    <t>Rozebranie fundmanetu z płyt żelbetowych pełnych</t>
  </si>
  <si>
    <t>RAZEM KOSZTORYS [NETTO ZŁ]:</t>
  </si>
  <si>
    <t>PODATEK VAT [23%]:</t>
  </si>
  <si>
    <t>RAZEM KOSZTORYS [BRUTTO ZŁ]:</t>
  </si>
  <si>
    <t>KOSZTORYS OFERTOWY</t>
  </si>
  <si>
    <t>ZBIORCZE ZESTAWIENIE KOSZTÓW
[TABELA ELEMENTÓW SCALONYCH]</t>
  </si>
  <si>
    <t>45221111-3    Mosty drogowe</t>
  </si>
  <si>
    <t>SUMA  [BRUTTO ZŁ]:</t>
  </si>
  <si>
    <t>Dokument należy podpisać zgodnie z wymaganiami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</si>
</sst>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.00.00.00\."/>
    <numFmt numFmtId="165" formatCode="#,##0.000"/>
  </numFmts>
  <fonts count="21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 CE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Times New Roman CE"/>
      <family val="1"/>
      <charset val="238"/>
    </font>
    <font>
      <sz val="9"/>
      <color rgb="FFFF0000"/>
      <name val="Times New Roman CE"/>
      <family val="1"/>
      <charset val="238"/>
    </font>
    <font>
      <sz val="8"/>
      <name val="Arial"/>
      <family val="2"/>
      <charset val="238"/>
    </font>
    <font>
      <sz val="8"/>
      <name val="Times New Roman CE"/>
      <family val="1"/>
      <charset val="238"/>
    </font>
    <font>
      <i/>
      <sz val="9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sz val="10"/>
      <name val="Arial CE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Times New Roman CE"/>
      <family val="1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70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double">
        <color indexed="64"/>
      </right>
      <top style="medium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4" fillId="0" borderId="0"/>
    <xf numFmtId="0" fontId="3" fillId="0" borderId="0"/>
    <xf numFmtId="0" fontId="12" fillId="0" borderId="0"/>
    <xf numFmtId="0" fontId="12" fillId="0" borderId="0" applyProtection="0"/>
    <xf numFmtId="0" fontId="12" fillId="0" borderId="0" applyProtection="0"/>
  </cellStyleXfs>
  <cellXfs count="299">
    <xf numFmtId="0" fontId="0" fillId="0" borderId="0" xfId="0"/>
    <xf numFmtId="0" fontId="3" fillId="0" borderId="0" xfId="1" applyFont="1" applyAlignment="1">
      <alignment vertical="center" wrapText="1"/>
    </xf>
    <xf numFmtId="0" fontId="4" fillId="0" borderId="0" xfId="1" applyFont="1" applyAlignment="1">
      <alignment vertical="center" wrapText="1"/>
    </xf>
    <xf numFmtId="1" fontId="2" fillId="2" borderId="0" xfId="1" applyNumberFormat="1" applyFont="1" applyFill="1" applyAlignment="1">
      <alignment horizontal="center" vertical="center" wrapText="1"/>
    </xf>
    <xf numFmtId="3" fontId="2" fillId="2" borderId="0" xfId="1" applyNumberFormat="1" applyFont="1" applyFill="1" applyAlignment="1">
      <alignment vertical="center" wrapText="1"/>
    </xf>
    <xf numFmtId="4" fontId="2" fillId="0" borderId="0" xfId="1" applyNumberFormat="1" applyFont="1" applyAlignment="1">
      <alignment vertical="center" wrapText="1"/>
    </xf>
    <xf numFmtId="4" fontId="2" fillId="0" borderId="0" xfId="1" applyNumberFormat="1" applyFont="1" applyAlignment="1">
      <alignment horizontal="center" vertical="center" wrapText="1"/>
    </xf>
    <xf numFmtId="3" fontId="5" fillId="2" borderId="0" xfId="1" applyNumberFormat="1" applyFont="1" applyFill="1" applyAlignment="1">
      <alignment horizontal="center" vertical="center" wrapText="1"/>
    </xf>
    <xf numFmtId="4" fontId="5" fillId="0" borderId="0" xfId="1" applyNumberFormat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5" fillId="3" borderId="8" xfId="1" applyFont="1" applyFill="1" applyBorder="1" applyAlignment="1">
      <alignment horizontal="center" vertical="center"/>
    </xf>
    <xf numFmtId="4" fontId="5" fillId="3" borderId="8" xfId="1" applyNumberFormat="1" applyFont="1" applyFill="1" applyBorder="1" applyAlignment="1">
      <alignment horizontal="center" vertical="center"/>
    </xf>
    <xf numFmtId="0" fontId="8" fillId="0" borderId="0" xfId="1" applyFont="1" applyAlignment="1">
      <alignment vertical="center" wrapText="1"/>
    </xf>
    <xf numFmtId="1" fontId="5" fillId="3" borderId="10" xfId="1" applyNumberFormat="1" applyFont="1" applyFill="1" applyBorder="1" applyAlignment="1">
      <alignment horizontal="center" vertical="center"/>
    </xf>
    <xf numFmtId="49" fontId="5" fillId="3" borderId="11" xfId="1" applyNumberFormat="1" applyFont="1" applyFill="1" applyBorder="1" applyAlignment="1">
      <alignment horizontal="center" vertical="center"/>
    </xf>
    <xf numFmtId="0" fontId="5" fillId="3" borderId="11" xfId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1" fontId="5" fillId="4" borderId="16" xfId="1" applyNumberFormat="1" applyFont="1" applyFill="1" applyBorder="1" applyAlignment="1">
      <alignment horizontal="center" vertical="center"/>
    </xf>
    <xf numFmtId="49" fontId="5" fillId="4" borderId="17" xfId="1" applyNumberFormat="1" applyFont="1" applyFill="1" applyBorder="1" applyAlignment="1">
      <alignment horizontal="center" vertical="center"/>
    </xf>
    <xf numFmtId="0" fontId="5" fillId="4" borderId="18" xfId="1" applyFont="1" applyFill="1" applyBorder="1" applyAlignment="1">
      <alignment horizontal="left" vertical="center"/>
    </xf>
    <xf numFmtId="2" fontId="5" fillId="4" borderId="0" xfId="1" applyNumberFormat="1" applyFont="1" applyFill="1" applyAlignment="1">
      <alignment horizontal="center" vertical="center"/>
    </xf>
    <xf numFmtId="4" fontId="5" fillId="4" borderId="19" xfId="1" applyNumberFormat="1" applyFont="1" applyFill="1" applyBorder="1" applyAlignment="1">
      <alignment horizontal="center" vertical="center"/>
    </xf>
    <xf numFmtId="4" fontId="5" fillId="4" borderId="17" xfId="1" applyNumberFormat="1" applyFont="1" applyFill="1" applyBorder="1" applyAlignment="1">
      <alignment horizontal="center" vertical="center"/>
    </xf>
    <xf numFmtId="4" fontId="5" fillId="0" borderId="20" xfId="1" applyNumberFormat="1" applyFont="1" applyBorder="1" applyAlignment="1">
      <alignment horizontal="center" vertical="center"/>
    </xf>
    <xf numFmtId="1" fontId="3" fillId="5" borderId="21" xfId="1" applyNumberFormat="1" applyFont="1" applyFill="1" applyBorder="1" applyAlignment="1">
      <alignment horizontal="center" vertical="center"/>
    </xf>
    <xf numFmtId="49" fontId="5" fillId="5" borderId="22" xfId="1" applyNumberFormat="1" applyFont="1" applyFill="1" applyBorder="1" applyAlignment="1">
      <alignment horizontal="center" vertical="center"/>
    </xf>
    <xf numFmtId="49" fontId="3" fillId="5" borderId="23" xfId="1" applyNumberFormat="1" applyFont="1" applyFill="1" applyBorder="1" applyAlignment="1">
      <alignment horizontal="left" vertical="center" wrapText="1"/>
    </xf>
    <xf numFmtId="2" fontId="3" fillId="5" borderId="24" xfId="1" applyNumberFormat="1" applyFont="1" applyFill="1" applyBorder="1" applyAlignment="1">
      <alignment horizontal="center" vertical="center"/>
    </xf>
    <xf numFmtId="4" fontId="3" fillId="0" borderId="25" xfId="1" applyNumberFormat="1" applyFont="1" applyBorder="1" applyAlignment="1">
      <alignment horizontal="center" vertical="center"/>
    </xf>
    <xf numFmtId="4" fontId="3" fillId="0" borderId="26" xfId="1" applyNumberFormat="1" applyFont="1" applyBorder="1" applyAlignment="1">
      <alignment horizontal="center" vertical="center"/>
    </xf>
    <xf numFmtId="1" fontId="3" fillId="5" borderId="27" xfId="1" applyNumberFormat="1" applyFont="1" applyFill="1" applyBorder="1" applyAlignment="1">
      <alignment horizontal="center" vertical="center"/>
    </xf>
    <xf numFmtId="49" fontId="11" fillId="5" borderId="28" xfId="1" applyNumberFormat="1" applyFont="1" applyFill="1" applyBorder="1" applyAlignment="1">
      <alignment horizontal="right" vertical="center" wrapText="1"/>
    </xf>
    <xf numFmtId="2" fontId="3" fillId="5" borderId="29" xfId="1" applyNumberFormat="1" applyFont="1" applyFill="1" applyBorder="1" applyAlignment="1">
      <alignment vertical="center"/>
    </xf>
    <xf numFmtId="2" fontId="3" fillId="5" borderId="30" xfId="1" applyNumberFormat="1" applyFont="1" applyFill="1" applyBorder="1" applyAlignment="1">
      <alignment vertical="center"/>
    </xf>
    <xf numFmtId="2" fontId="3" fillId="5" borderId="31" xfId="1" applyNumberFormat="1" applyFont="1" applyFill="1" applyBorder="1" applyAlignment="1">
      <alignment vertical="center"/>
    </xf>
    <xf numFmtId="49" fontId="11" fillId="5" borderId="32" xfId="1" applyNumberFormat="1" applyFont="1" applyFill="1" applyBorder="1" applyAlignment="1">
      <alignment horizontal="right" vertical="center" wrapText="1"/>
    </xf>
    <xf numFmtId="2" fontId="3" fillId="5" borderId="23" xfId="1" applyNumberFormat="1" applyFont="1" applyFill="1" applyBorder="1" applyAlignment="1">
      <alignment vertical="center"/>
    </xf>
    <xf numFmtId="2" fontId="3" fillId="5" borderId="0" xfId="1" applyNumberFormat="1" applyFont="1" applyFill="1" applyAlignment="1">
      <alignment vertical="center"/>
    </xf>
    <xf numFmtId="2" fontId="3" fillId="5" borderId="33" xfId="1" applyNumberFormat="1" applyFont="1" applyFill="1" applyBorder="1" applyAlignment="1">
      <alignment vertical="center"/>
    </xf>
    <xf numFmtId="49" fontId="11" fillId="5" borderId="34" xfId="1" applyNumberFormat="1" applyFont="1" applyFill="1" applyBorder="1" applyAlignment="1">
      <alignment horizontal="right" vertical="center" wrapText="1"/>
    </xf>
    <xf numFmtId="4" fontId="10" fillId="0" borderId="0" xfId="1" applyNumberFormat="1" applyFont="1" applyAlignment="1">
      <alignment horizontal="center" vertical="center" wrapText="1"/>
    </xf>
    <xf numFmtId="49" fontId="11" fillId="5" borderId="8" xfId="1" applyNumberFormat="1" applyFont="1" applyFill="1" applyBorder="1" applyAlignment="1">
      <alignment horizontal="right" vertical="center" wrapText="1"/>
    </xf>
    <xf numFmtId="1" fontId="3" fillId="5" borderId="16" xfId="1" applyNumberFormat="1" applyFont="1" applyFill="1" applyBorder="1" applyAlignment="1">
      <alignment horizontal="center" vertical="center"/>
    </xf>
    <xf numFmtId="49" fontId="11" fillId="5" borderId="23" xfId="1" applyNumberFormat="1" applyFont="1" applyFill="1" applyBorder="1" applyAlignment="1">
      <alignment horizontal="right" vertical="center" wrapText="1"/>
    </xf>
    <xf numFmtId="2" fontId="3" fillId="5" borderId="18" xfId="1" applyNumberFormat="1" applyFont="1" applyFill="1" applyBorder="1" applyAlignment="1">
      <alignment vertical="center"/>
    </xf>
    <xf numFmtId="1" fontId="5" fillId="4" borderId="16" xfId="1" applyNumberFormat="1" applyFont="1" applyFill="1" applyBorder="1" applyAlignment="1">
      <alignment horizontal="center" vertical="center" wrapText="1"/>
    </xf>
    <xf numFmtId="0" fontId="5" fillId="4" borderId="35" xfId="1" applyFont="1" applyFill="1" applyBorder="1" applyAlignment="1">
      <alignment horizontal="center" vertical="center" wrapText="1"/>
    </xf>
    <xf numFmtId="49" fontId="5" fillId="4" borderId="36" xfId="1" applyNumberFormat="1" applyFont="1" applyFill="1" applyBorder="1" applyAlignment="1">
      <alignment vertical="center" wrapText="1"/>
    </xf>
    <xf numFmtId="49" fontId="5" fillId="4" borderId="37" xfId="1" applyNumberFormat="1" applyFont="1" applyFill="1" applyBorder="1" applyAlignment="1">
      <alignment vertical="center" wrapText="1"/>
    </xf>
    <xf numFmtId="4" fontId="5" fillId="4" borderId="38" xfId="1" applyNumberFormat="1" applyFont="1" applyFill="1" applyBorder="1" applyAlignment="1">
      <alignment vertical="center" wrapText="1"/>
    </xf>
    <xf numFmtId="4" fontId="5" fillId="4" borderId="35" xfId="1" applyNumberFormat="1" applyFont="1" applyFill="1" applyBorder="1" applyAlignment="1">
      <alignment vertical="center" wrapText="1"/>
    </xf>
    <xf numFmtId="4" fontId="5" fillId="0" borderId="39" xfId="1" applyNumberFormat="1" applyFont="1" applyBorder="1" applyAlignment="1">
      <alignment horizontal="center" vertical="center"/>
    </xf>
    <xf numFmtId="4" fontId="4" fillId="0" borderId="0" xfId="1" applyNumberFormat="1" applyFont="1" applyAlignment="1">
      <alignment vertical="center" wrapText="1"/>
    </xf>
    <xf numFmtId="1" fontId="5" fillId="5" borderId="21" xfId="1" applyNumberFormat="1" applyFont="1" applyFill="1" applyBorder="1" applyAlignment="1">
      <alignment horizontal="center" vertical="center" wrapText="1"/>
    </xf>
    <xf numFmtId="164" fontId="5" fillId="5" borderId="24" xfId="1" applyNumberFormat="1" applyFont="1" applyFill="1" applyBorder="1" applyAlignment="1" applyProtection="1">
      <alignment horizontal="center" vertical="center" wrapText="1"/>
      <protection locked="0"/>
    </xf>
    <xf numFmtId="0" fontId="5" fillId="5" borderId="40" xfId="1" applyFont="1" applyFill="1" applyBorder="1" applyAlignment="1" applyProtection="1">
      <alignment vertical="center" wrapText="1"/>
      <protection locked="0"/>
    </xf>
    <xf numFmtId="0" fontId="5" fillId="5" borderId="24" xfId="1" applyFont="1" applyFill="1" applyBorder="1" applyAlignment="1">
      <alignment horizontal="center" vertical="center" wrapText="1"/>
    </xf>
    <xf numFmtId="4" fontId="3" fillId="0" borderId="8" xfId="1" applyNumberFormat="1" applyFont="1" applyBorder="1" applyAlignment="1">
      <alignment horizontal="center" vertical="center"/>
    </xf>
    <xf numFmtId="4" fontId="5" fillId="0" borderId="7" xfId="1" applyNumberFormat="1" applyFont="1" applyBorder="1" applyAlignment="1">
      <alignment horizontal="center" vertical="center"/>
    </xf>
    <xf numFmtId="4" fontId="3" fillId="0" borderId="9" xfId="1" applyNumberFormat="1" applyFont="1" applyBorder="1" applyAlignment="1">
      <alignment horizontal="center" vertical="center"/>
    </xf>
    <xf numFmtId="164" fontId="3" fillId="5" borderId="22" xfId="1" applyNumberFormat="1" applyFont="1" applyFill="1" applyBorder="1" applyAlignment="1" applyProtection="1">
      <alignment horizontal="center" vertical="center" wrapText="1"/>
      <protection locked="0"/>
    </xf>
    <xf numFmtId="0" fontId="3" fillId="5" borderId="22" xfId="2" quotePrefix="1" applyFont="1" applyFill="1" applyBorder="1" applyAlignment="1">
      <alignment horizontal="left" vertical="center" wrapText="1"/>
    </xf>
    <xf numFmtId="0" fontId="3" fillId="5" borderId="22" xfId="1" applyFont="1" applyFill="1" applyBorder="1" applyAlignment="1">
      <alignment horizontal="center" vertical="center" wrapText="1"/>
    </xf>
    <xf numFmtId="165" fontId="3" fillId="0" borderId="8" xfId="1" applyNumberFormat="1" applyFont="1" applyBorder="1" applyAlignment="1">
      <alignment horizontal="center" vertical="center"/>
    </xf>
    <xf numFmtId="4" fontId="3" fillId="0" borderId="33" xfId="1" applyNumberFormat="1" applyFont="1" applyBorder="1" applyAlignment="1">
      <alignment horizontal="center" vertical="center"/>
    </xf>
    <xf numFmtId="1" fontId="5" fillId="5" borderId="27" xfId="1" applyNumberFormat="1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 applyProtection="1">
      <alignment horizontal="center" vertical="center"/>
      <protection locked="0"/>
    </xf>
    <xf numFmtId="0" fontId="5" fillId="5" borderId="29" xfId="2" quotePrefix="1" applyFont="1" applyFill="1" applyBorder="1" applyAlignment="1">
      <alignment horizontal="left" vertical="center" wrapText="1"/>
    </xf>
    <xf numFmtId="0" fontId="5" fillId="5" borderId="30" xfId="1" applyFont="1" applyFill="1" applyBorder="1" applyAlignment="1">
      <alignment horizontal="center" vertical="center" wrapText="1"/>
    </xf>
    <xf numFmtId="4" fontId="5" fillId="0" borderId="8" xfId="1" applyNumberFormat="1" applyFont="1" applyBorder="1" applyAlignment="1">
      <alignment horizontal="center" vertical="center"/>
    </xf>
    <xf numFmtId="4" fontId="3" fillId="0" borderId="41" xfId="1" applyNumberFormat="1" applyFont="1" applyBorder="1" applyAlignment="1">
      <alignment horizontal="center" vertical="center"/>
    </xf>
    <xf numFmtId="164" fontId="3" fillId="0" borderId="29" xfId="0" applyNumberFormat="1" applyFont="1" applyBorder="1" applyAlignment="1" applyProtection="1">
      <alignment horizontal="center" vertical="center"/>
      <protection locked="0"/>
    </xf>
    <xf numFmtId="0" fontId="3" fillId="5" borderId="8" xfId="2" quotePrefix="1" applyFont="1" applyFill="1" applyBorder="1" applyAlignment="1">
      <alignment horizontal="left" vertical="center" wrapText="1"/>
    </xf>
    <xf numFmtId="0" fontId="3" fillId="5" borderId="43" xfId="1" applyFont="1" applyFill="1" applyBorder="1" applyAlignment="1">
      <alignment horizontal="center" vertical="center" wrapText="1"/>
    </xf>
    <xf numFmtId="164" fontId="3" fillId="0" borderId="7" xfId="0" applyNumberFormat="1" applyFont="1" applyBorder="1" applyAlignment="1" applyProtection="1">
      <alignment horizontal="center" vertical="center"/>
      <protection locked="0"/>
    </xf>
    <xf numFmtId="0" fontId="3" fillId="5" borderId="8" xfId="1" applyFont="1" applyFill="1" applyBorder="1" applyAlignment="1">
      <alignment horizontal="center" vertical="center" wrapText="1"/>
    </xf>
    <xf numFmtId="0" fontId="5" fillId="0" borderId="42" xfId="0" applyFont="1" applyBorder="1" applyAlignment="1" applyProtection="1">
      <alignment vertical="center" wrapText="1"/>
      <protection locked="0"/>
    </xf>
    <xf numFmtId="0" fontId="5" fillId="5" borderId="22" xfId="1" applyFont="1" applyFill="1" applyBorder="1" applyAlignment="1">
      <alignment horizontal="center" vertical="center" wrapText="1"/>
    </xf>
    <xf numFmtId="164" fontId="3" fillId="0" borderId="43" xfId="0" applyNumberFormat="1" applyFont="1" applyBorder="1" applyAlignment="1" applyProtection="1">
      <alignment horizontal="center" vertical="center"/>
      <protection locked="0"/>
    </xf>
    <xf numFmtId="0" fontId="3" fillId="0" borderId="8" xfId="0" quotePrefix="1" applyFont="1" applyBorder="1" applyAlignment="1" applyProtection="1">
      <alignment vertical="center" wrapText="1"/>
      <protection locked="0"/>
    </xf>
    <xf numFmtId="0" fontId="3" fillId="0" borderId="8" xfId="0" applyFont="1" applyBorder="1" applyAlignment="1">
      <alignment horizontal="center" vertical="center"/>
    </xf>
    <xf numFmtId="164" fontId="5" fillId="5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5" borderId="8" xfId="2" applyFont="1" applyFill="1" applyBorder="1" applyAlignment="1">
      <alignment vertical="center" wrapText="1"/>
    </xf>
    <xf numFmtId="2" fontId="5" fillId="5" borderId="44" xfId="1" applyNumberFormat="1" applyFont="1" applyFill="1" applyBorder="1" applyAlignment="1">
      <alignment horizontal="center" vertical="center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3" applyFont="1" applyBorder="1" applyAlignment="1">
      <alignment horizontal="center" vertical="center"/>
    </xf>
    <xf numFmtId="4" fontId="3" fillId="0" borderId="45" xfId="1" applyNumberFormat="1" applyFont="1" applyBorder="1" applyAlignment="1">
      <alignment horizontal="center" vertical="center"/>
    </xf>
    <xf numFmtId="4" fontId="3" fillId="0" borderId="19" xfId="1" applyNumberFormat="1" applyFont="1" applyBorder="1" applyAlignment="1">
      <alignment horizontal="center" vertical="center"/>
    </xf>
    <xf numFmtId="1" fontId="5" fillId="4" borderId="46" xfId="1" applyNumberFormat="1" applyFont="1" applyFill="1" applyBorder="1" applyAlignment="1">
      <alignment horizontal="center" vertical="center" wrapText="1"/>
    </xf>
    <xf numFmtId="0" fontId="5" fillId="4" borderId="35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 wrapText="1"/>
    </xf>
    <xf numFmtId="4" fontId="3" fillId="0" borderId="7" xfId="1" applyNumberFormat="1" applyFont="1" applyBorder="1" applyAlignment="1">
      <alignment horizontal="center" vertical="center"/>
    </xf>
    <xf numFmtId="0" fontId="3" fillId="0" borderId="43" xfId="0" applyFont="1" applyBorder="1" applyAlignment="1">
      <alignment vertical="center"/>
    </xf>
    <xf numFmtId="0" fontId="3" fillId="0" borderId="8" xfId="1" quotePrefix="1" applyFont="1" applyBorder="1" applyAlignment="1">
      <alignment horizontal="left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/>
    </xf>
    <xf numFmtId="0" fontId="5" fillId="0" borderId="7" xfId="1" applyFont="1" applyBorder="1" applyAlignment="1">
      <alignment horizontal="center" vertical="center" wrapText="1"/>
    </xf>
    <xf numFmtId="0" fontId="5" fillId="0" borderId="43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4" fontId="3" fillId="0" borderId="48" xfId="1" applyNumberFormat="1" applyFont="1" applyBorder="1" applyAlignment="1">
      <alignment horizontal="center" vertical="center"/>
    </xf>
    <xf numFmtId="1" fontId="5" fillId="0" borderId="27" xfId="1" applyNumberFormat="1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15" fillId="0" borderId="8" xfId="0" applyFont="1" applyBorder="1" applyAlignment="1">
      <alignment vertical="center" wrapText="1"/>
    </xf>
    <xf numFmtId="0" fontId="16" fillId="0" borderId="8" xfId="0" applyFont="1" applyBorder="1" applyAlignment="1">
      <alignment horizontal="center" vertical="center" wrapText="1"/>
    </xf>
    <xf numFmtId="2" fontId="16" fillId="0" borderId="8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16" fillId="0" borderId="8" xfId="0" applyFont="1" applyBorder="1" applyAlignment="1">
      <alignment vertical="center" wrapText="1"/>
    </xf>
    <xf numFmtId="2" fontId="3" fillId="0" borderId="8" xfId="0" applyNumberFormat="1" applyFont="1" applyBorder="1" applyAlignment="1">
      <alignment horizontal="center" vertical="center" wrapText="1"/>
    </xf>
    <xf numFmtId="1" fontId="5" fillId="4" borderId="46" xfId="1" applyNumberFormat="1" applyFont="1" applyFill="1" applyBorder="1" applyAlignment="1">
      <alignment horizontal="center" vertical="center"/>
    </xf>
    <xf numFmtId="1" fontId="5" fillId="0" borderId="27" xfId="1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0" fontId="5" fillId="0" borderId="8" xfId="4" applyFont="1" applyBorder="1" applyAlignment="1">
      <alignment horizontal="center" vertical="center"/>
    </xf>
    <xf numFmtId="49" fontId="3" fillId="0" borderId="8" xfId="4" quotePrefix="1" applyNumberFormat="1" applyBorder="1" applyAlignment="1">
      <alignment horizontal="left" vertical="center" wrapText="1"/>
    </xf>
    <xf numFmtId="0" fontId="3" fillId="0" borderId="8" xfId="4" applyBorder="1" applyAlignment="1">
      <alignment horizontal="center" vertical="center"/>
    </xf>
    <xf numFmtId="4" fontId="3" fillId="0" borderId="43" xfId="1" applyNumberFormat="1" applyFont="1" applyBorder="1" applyAlignment="1">
      <alignment horizontal="center" vertical="center"/>
    </xf>
    <xf numFmtId="0" fontId="17" fillId="0" borderId="0" xfId="1" applyFont="1" applyAlignment="1">
      <alignment vertical="center" wrapText="1"/>
    </xf>
    <xf numFmtId="49" fontId="5" fillId="0" borderId="42" xfId="0" applyNumberFormat="1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43" xfId="4" applyBorder="1" applyAlignment="1">
      <alignment horizontal="center" vertical="center"/>
    </xf>
    <xf numFmtId="49" fontId="3" fillId="0" borderId="42" xfId="4" quotePrefix="1" applyNumberFormat="1" applyBorder="1" applyAlignment="1">
      <alignment horizontal="left" vertical="center" wrapText="1"/>
    </xf>
    <xf numFmtId="0" fontId="5" fillId="0" borderId="43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49" fontId="3" fillId="0" borderId="22" xfId="4" quotePrefix="1" applyNumberFormat="1" applyBorder="1" applyAlignment="1">
      <alignment horizontal="left" vertical="center" wrapText="1"/>
    </xf>
    <xf numFmtId="4" fontId="3" fillId="0" borderId="11" xfId="1" applyNumberFormat="1" applyFont="1" applyBorder="1" applyAlignment="1">
      <alignment horizontal="center" vertical="center"/>
    </xf>
    <xf numFmtId="1" fontId="5" fillId="4" borderId="49" xfId="1" applyNumberFormat="1" applyFont="1" applyFill="1" applyBorder="1" applyAlignment="1">
      <alignment horizontal="center" vertical="center"/>
    </xf>
    <xf numFmtId="1" fontId="5" fillId="0" borderId="21" xfId="1" applyNumberFormat="1" applyFont="1" applyBorder="1" applyAlignment="1">
      <alignment horizontal="center" vertical="center"/>
    </xf>
    <xf numFmtId="0" fontId="3" fillId="0" borderId="43" xfId="0" applyFont="1" applyBorder="1" applyAlignment="1">
      <alignment vertical="center" wrapText="1"/>
    </xf>
    <xf numFmtId="49" fontId="3" fillId="0" borderId="43" xfId="0" quotePrefix="1" applyNumberFormat="1" applyFont="1" applyBorder="1" applyAlignment="1">
      <alignment horizontal="left" vertical="center" wrapText="1"/>
    </xf>
    <xf numFmtId="0" fontId="3" fillId="0" borderId="7" xfId="0" applyFont="1" applyBorder="1" applyAlignment="1">
      <alignment vertical="center" wrapText="1"/>
    </xf>
    <xf numFmtId="49" fontId="5" fillId="0" borderId="8" xfId="0" applyNumberFormat="1" applyFont="1" applyBorder="1" applyAlignment="1">
      <alignment vertical="center" wrapText="1"/>
    </xf>
    <xf numFmtId="49" fontId="3" fillId="0" borderId="8" xfId="0" quotePrefix="1" applyNumberFormat="1" applyFont="1" applyBorder="1" applyAlignment="1">
      <alignment horizontal="left" vertical="center" wrapText="1"/>
    </xf>
    <xf numFmtId="49" fontId="5" fillId="0" borderId="50" xfId="0" applyNumberFormat="1" applyFont="1" applyBorder="1" applyAlignment="1">
      <alignment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/>
    </xf>
    <xf numFmtId="0" fontId="3" fillId="0" borderId="17" xfId="0" applyFont="1" applyBorder="1" applyAlignment="1">
      <alignment vertical="center" wrapText="1"/>
    </xf>
    <xf numFmtId="4" fontId="5" fillId="0" borderId="51" xfId="1" applyNumberFormat="1" applyFont="1" applyBorder="1" applyAlignment="1">
      <alignment horizontal="center" vertical="center"/>
    </xf>
    <xf numFmtId="0" fontId="5" fillId="5" borderId="22" xfId="5" applyFont="1" applyFill="1" applyBorder="1" applyAlignment="1">
      <alignment horizontal="center" vertical="center" wrapText="1"/>
    </xf>
    <xf numFmtId="49" fontId="5" fillId="0" borderId="50" xfId="5" applyNumberFormat="1" applyFont="1" applyBorder="1" applyAlignment="1">
      <alignment vertical="center" wrapText="1"/>
    </xf>
    <xf numFmtId="0" fontId="5" fillId="0" borderId="7" xfId="4" applyFont="1" applyBorder="1" applyAlignment="1">
      <alignment horizontal="center" vertical="center"/>
    </xf>
    <xf numFmtId="4" fontId="3" fillId="0" borderId="52" xfId="1" applyNumberFormat="1" applyFont="1" applyBorder="1" applyAlignment="1">
      <alignment horizontal="center" vertical="center"/>
    </xf>
    <xf numFmtId="2" fontId="4" fillId="0" borderId="0" xfId="1" applyNumberFormat="1" applyFont="1" applyAlignment="1">
      <alignment vertical="center" wrapText="1"/>
    </xf>
    <xf numFmtId="0" fontId="3" fillId="5" borderId="8" xfId="5" applyFont="1" applyFill="1" applyBorder="1" applyAlignment="1">
      <alignment vertical="center" wrapText="1"/>
    </xf>
    <xf numFmtId="49" fontId="3" fillId="0" borderId="8" xfId="5" quotePrefix="1" applyNumberFormat="1" applyFont="1" applyBorder="1" applyAlignment="1">
      <alignment horizontal="left" vertical="center" wrapText="1"/>
    </xf>
    <xf numFmtId="0" fontId="3" fillId="5" borderId="43" xfId="5" applyFont="1" applyFill="1" applyBorder="1" applyAlignment="1">
      <alignment vertical="center" wrapText="1"/>
    </xf>
    <xf numFmtId="0" fontId="5" fillId="4" borderId="36" xfId="0" applyFont="1" applyFill="1" applyBorder="1" applyAlignment="1">
      <alignment horizontal="center" vertical="center"/>
    </xf>
    <xf numFmtId="0" fontId="5" fillId="5" borderId="43" xfId="5" applyFont="1" applyFill="1" applyBorder="1" applyAlignment="1">
      <alignment horizontal="center" vertical="center" wrapText="1"/>
    </xf>
    <xf numFmtId="0" fontId="3" fillId="5" borderId="43" xfId="5" applyFont="1" applyFill="1" applyBorder="1" applyAlignment="1">
      <alignment horizontal="center" vertical="center" wrapText="1"/>
    </xf>
    <xf numFmtId="49" fontId="3" fillId="0" borderId="50" xfId="5" applyNumberFormat="1" applyFont="1" applyBorder="1" applyAlignment="1">
      <alignment vertical="center" wrapText="1"/>
    </xf>
    <xf numFmtId="0" fontId="3" fillId="5" borderId="22" xfId="5" applyFont="1" applyFill="1" applyBorder="1" applyAlignment="1">
      <alignment horizontal="center" vertical="center" wrapText="1"/>
    </xf>
    <xf numFmtId="0" fontId="5" fillId="5" borderId="8" xfId="5" applyFont="1" applyFill="1" applyBorder="1" applyAlignment="1">
      <alignment horizontal="center" vertical="center" wrapText="1"/>
    </xf>
    <xf numFmtId="0" fontId="3" fillId="5" borderId="11" xfId="5" applyFont="1" applyFill="1" applyBorder="1" applyAlignment="1">
      <alignment horizontal="center" vertical="center" wrapText="1"/>
    </xf>
    <xf numFmtId="49" fontId="3" fillId="0" borderId="8" xfId="1" quotePrefix="1" applyNumberFormat="1" applyFont="1" applyBorder="1" applyAlignment="1">
      <alignment horizontal="left" vertical="center" wrapText="1"/>
    </xf>
    <xf numFmtId="4" fontId="3" fillId="5" borderId="8" xfId="1" applyNumberFormat="1" applyFont="1" applyFill="1" applyBorder="1" applyAlignment="1">
      <alignment horizontal="center" vertical="center" wrapText="1"/>
    </xf>
    <xf numFmtId="1" fontId="5" fillId="4" borderId="21" xfId="1" applyNumberFormat="1" applyFont="1" applyFill="1" applyBorder="1" applyAlignment="1">
      <alignment horizontal="center" vertical="center"/>
    </xf>
    <xf numFmtId="0" fontId="5" fillId="0" borderId="24" xfId="6" applyFont="1" applyBorder="1" applyAlignment="1" applyProtection="1">
      <alignment horizontal="center" vertical="center" wrapText="1"/>
      <protection locked="0"/>
    </xf>
    <xf numFmtId="49" fontId="5" fillId="0" borderId="40" xfId="7" applyNumberFormat="1" applyFont="1" applyBorder="1" applyAlignment="1" applyProtection="1">
      <alignment vertical="center" wrapText="1"/>
      <protection locked="0"/>
    </xf>
    <xf numFmtId="49" fontId="3" fillId="0" borderId="8" xfId="6" quotePrefix="1" applyNumberFormat="1" applyFont="1" applyBorder="1" applyAlignment="1" applyProtection="1">
      <alignment horizontal="left" vertical="center" wrapText="1"/>
      <protection locked="0"/>
    </xf>
    <xf numFmtId="0" fontId="5" fillId="0" borderId="7" xfId="6" applyFont="1" applyBorder="1" applyAlignment="1" applyProtection="1">
      <alignment horizontal="center" vertical="center" wrapText="1"/>
      <protection locked="0"/>
    </xf>
    <xf numFmtId="49" fontId="5" fillId="0" borderId="42" xfId="7" applyNumberFormat="1" applyFont="1" applyBorder="1" applyAlignment="1" applyProtection="1">
      <alignment vertical="center" wrapText="1"/>
      <protection locked="0"/>
    </xf>
    <xf numFmtId="0" fontId="3" fillId="0" borderId="22" xfId="1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/>
    </xf>
    <xf numFmtId="0" fontId="5" fillId="0" borderId="42" xfId="0" applyFont="1" applyBorder="1" applyAlignment="1">
      <alignment vertical="center" wrapText="1"/>
    </xf>
    <xf numFmtId="4" fontId="18" fillId="0" borderId="56" xfId="1" applyNumberFormat="1" applyFont="1" applyBorder="1" applyAlignment="1">
      <alignment horizontal="center" vertical="center" wrapText="1"/>
    </xf>
    <xf numFmtId="0" fontId="3" fillId="0" borderId="57" xfId="1" applyFont="1" applyBorder="1" applyAlignment="1">
      <alignment vertical="center" wrapText="1"/>
    </xf>
    <xf numFmtId="4" fontId="5" fillId="0" borderId="36" xfId="1" applyNumberFormat="1" applyFont="1" applyBorder="1" applyAlignment="1">
      <alignment horizontal="center" vertical="center" wrapText="1"/>
    </xf>
    <xf numFmtId="1" fontId="3" fillId="0" borderId="27" xfId="1" applyNumberFormat="1" applyFont="1" applyBorder="1" applyAlignment="1">
      <alignment horizontal="center" vertical="center"/>
    </xf>
    <xf numFmtId="164" fontId="5" fillId="0" borderId="43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vertical="center" wrapText="1"/>
    </xf>
    <xf numFmtId="4" fontId="3" fillId="0" borderId="8" xfId="1" applyNumberFormat="1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44" xfId="1" applyNumberFormat="1" applyFont="1" applyBorder="1" applyAlignment="1">
      <alignment horizontal="center" vertical="center"/>
    </xf>
    <xf numFmtId="4" fontId="5" fillId="0" borderId="39" xfId="1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/>
    </xf>
    <xf numFmtId="164" fontId="3" fillId="0" borderId="43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vertical="center" wrapText="1"/>
    </xf>
    <xf numFmtId="0" fontId="3" fillId="0" borderId="8" xfId="0" quotePrefix="1" applyFont="1" applyBorder="1" applyAlignment="1">
      <alignment vertical="center" wrapText="1"/>
    </xf>
    <xf numFmtId="164" fontId="3" fillId="0" borderId="43" xfId="0" applyNumberFormat="1" applyFont="1" applyBorder="1" applyAlignment="1" applyProtection="1">
      <alignment vertical="center" wrapText="1"/>
      <protection locked="0"/>
    </xf>
    <xf numFmtId="164" fontId="3" fillId="0" borderId="7" xfId="0" applyNumberFormat="1" applyFont="1" applyBorder="1" applyAlignment="1" applyProtection="1">
      <alignment vertical="center" wrapText="1"/>
      <protection locked="0"/>
    </xf>
    <xf numFmtId="1" fontId="5" fillId="4" borderId="58" xfId="1" applyNumberFormat="1" applyFont="1" applyFill="1" applyBorder="1" applyAlignment="1">
      <alignment horizontal="center" vertical="center" wrapText="1"/>
    </xf>
    <xf numFmtId="1" fontId="5" fillId="4" borderId="35" xfId="1" applyNumberFormat="1" applyFont="1" applyFill="1" applyBorder="1" applyAlignment="1">
      <alignment horizontal="center" vertical="center" wrapText="1"/>
    </xf>
    <xf numFmtId="164" fontId="3" fillId="0" borderId="22" xfId="0" applyNumberFormat="1" applyFont="1" applyBorder="1" applyAlignment="1" applyProtection="1">
      <alignment vertical="center" wrapText="1"/>
      <protection locked="0"/>
    </xf>
    <xf numFmtId="164" fontId="3" fillId="0" borderId="17" xfId="0" applyNumberFormat="1" applyFont="1" applyBorder="1" applyAlignment="1" applyProtection="1">
      <alignment vertical="center" wrapText="1"/>
      <protection locked="0"/>
    </xf>
    <xf numFmtId="1" fontId="3" fillId="0" borderId="57" xfId="1" applyNumberFormat="1" applyFont="1" applyBorder="1" applyAlignment="1">
      <alignment horizontal="center" vertical="center"/>
    </xf>
    <xf numFmtId="164" fontId="5" fillId="0" borderId="8" xfId="0" applyNumberFormat="1" applyFont="1" applyBorder="1" applyAlignment="1" applyProtection="1">
      <alignment horizontal="center" vertical="center" wrapText="1"/>
      <protection locked="0"/>
    </xf>
    <xf numFmtId="49" fontId="5" fillId="0" borderId="22" xfId="0" applyNumberFormat="1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/>
    </xf>
    <xf numFmtId="4" fontId="3" fillId="0" borderId="22" xfId="1" applyNumberFormat="1" applyFont="1" applyBorder="1" applyAlignment="1">
      <alignment horizontal="center" vertical="center" wrapText="1"/>
    </xf>
    <xf numFmtId="4" fontId="3" fillId="0" borderId="22" xfId="1" applyNumberFormat="1" applyFont="1" applyBorder="1" applyAlignment="1">
      <alignment horizontal="center" vertical="center"/>
    </xf>
    <xf numFmtId="164" fontId="3" fillId="0" borderId="22" xfId="0" applyNumberFormat="1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>
      <alignment horizontal="left" vertical="center" wrapText="1"/>
    </xf>
    <xf numFmtId="0" fontId="3" fillId="0" borderId="43" xfId="0" applyFont="1" applyBorder="1" applyAlignment="1">
      <alignment horizontal="left" vertical="center"/>
    </xf>
    <xf numFmtId="4" fontId="3" fillId="0" borderId="43" xfId="1" applyNumberFormat="1" applyFont="1" applyBorder="1" applyAlignment="1">
      <alignment horizontal="center" vertical="center" wrapText="1"/>
    </xf>
    <xf numFmtId="4" fontId="18" fillId="0" borderId="59" xfId="1" applyNumberFormat="1" applyFont="1" applyBorder="1" applyAlignment="1">
      <alignment horizontal="center" vertical="center" wrapText="1"/>
    </xf>
    <xf numFmtId="0" fontId="5" fillId="0" borderId="8" xfId="0" quotePrefix="1" applyFont="1" applyBorder="1" applyAlignment="1" applyProtection="1">
      <alignment vertical="center" wrapText="1"/>
      <protection locked="0"/>
    </xf>
    <xf numFmtId="164" fontId="5" fillId="0" borderId="43" xfId="0" applyNumberFormat="1" applyFont="1" applyBorder="1" applyAlignment="1" applyProtection="1">
      <alignment vertical="center" wrapText="1"/>
      <protection locked="0"/>
    </xf>
    <xf numFmtId="4" fontId="3" fillId="0" borderId="44" xfId="1" applyNumberFormat="1" applyFont="1" applyBorder="1" applyAlignment="1">
      <alignment horizontal="center" vertical="center" wrapText="1"/>
    </xf>
    <xf numFmtId="4" fontId="3" fillId="0" borderId="45" xfId="1" applyNumberFormat="1" applyFont="1" applyBorder="1" applyAlignment="1">
      <alignment horizontal="center" vertical="center" wrapText="1"/>
    </xf>
    <xf numFmtId="164" fontId="5" fillId="0" borderId="22" xfId="0" applyNumberFormat="1" applyFont="1" applyBorder="1" applyAlignment="1" applyProtection="1">
      <alignment vertical="center" wrapText="1"/>
      <protection locked="0"/>
    </xf>
    <xf numFmtId="0" fontId="3" fillId="0" borderId="43" xfId="0" quotePrefix="1" applyFont="1" applyBorder="1" applyAlignment="1" applyProtection="1">
      <alignment vertical="center" wrapText="1"/>
      <protection locked="0"/>
    </xf>
    <xf numFmtId="0" fontId="5" fillId="4" borderId="17" xfId="1" applyFont="1" applyFill="1" applyBorder="1" applyAlignment="1">
      <alignment horizontal="center" vertical="center" wrapText="1"/>
    </xf>
    <xf numFmtId="0" fontId="3" fillId="0" borderId="42" xfId="3" applyFont="1" applyBorder="1" applyAlignment="1">
      <alignment horizontal="center" vertical="center"/>
    </xf>
    <xf numFmtId="4" fontId="3" fillId="0" borderId="47" xfId="1" applyNumberFormat="1" applyFont="1" applyBorder="1" applyAlignment="1">
      <alignment horizontal="center" vertical="center"/>
    </xf>
    <xf numFmtId="0" fontId="5" fillId="5" borderId="7" xfId="1" applyFont="1" applyFill="1" applyBorder="1" applyAlignment="1">
      <alignment horizontal="center" vertical="center" wrapText="1"/>
    </xf>
    <xf numFmtId="0" fontId="3" fillId="5" borderId="7" xfId="5" applyFont="1" applyFill="1" applyBorder="1" applyAlignment="1">
      <alignment horizontal="center" vertical="center" wrapText="1"/>
    </xf>
    <xf numFmtId="0" fontId="3" fillId="5" borderId="8" xfId="5" applyFont="1" applyFill="1" applyBorder="1" applyAlignment="1">
      <alignment horizontal="center" vertical="center" wrapText="1"/>
    </xf>
    <xf numFmtId="1" fontId="3" fillId="3" borderId="60" xfId="1" applyNumberFormat="1" applyFont="1" applyFill="1" applyBorder="1" applyAlignment="1">
      <alignment horizontal="center" vertical="center" wrapText="1"/>
    </xf>
    <xf numFmtId="4" fontId="18" fillId="3" borderId="56" xfId="1" applyNumberFormat="1" applyFont="1" applyFill="1" applyBorder="1" applyAlignment="1">
      <alignment horizontal="center" vertical="center" wrapText="1"/>
    </xf>
    <xf numFmtId="0" fontId="4" fillId="0" borderId="57" xfId="1" applyFont="1" applyBorder="1" applyAlignment="1">
      <alignment vertical="center" wrapText="1"/>
    </xf>
    <xf numFmtId="49" fontId="5" fillId="4" borderId="37" xfId="1" applyNumberFormat="1" applyFont="1" applyFill="1" applyBorder="1" applyAlignment="1">
      <alignment horizontal="center" vertical="center" wrapText="1"/>
    </xf>
    <xf numFmtId="4" fontId="5" fillId="4" borderId="38" xfId="1" applyNumberFormat="1" applyFont="1" applyFill="1" applyBorder="1" applyAlignment="1">
      <alignment horizontal="center" vertical="center" wrapText="1"/>
    </xf>
    <xf numFmtId="164" fontId="5" fillId="0" borderId="8" xfId="1" applyNumberFormat="1" applyFont="1" applyBorder="1" applyAlignment="1" applyProtection="1">
      <alignment horizontal="center" vertical="center" wrapText="1"/>
      <protection locked="0"/>
    </xf>
    <xf numFmtId="0" fontId="3" fillId="0" borderId="8" xfId="2" applyFont="1" applyBorder="1" applyAlignment="1">
      <alignment vertical="center" wrapText="1"/>
    </xf>
    <xf numFmtId="2" fontId="3" fillId="0" borderId="8" xfId="1" applyNumberFormat="1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49" fontId="3" fillId="0" borderId="43" xfId="0" applyNumberFormat="1" applyFont="1" applyBorder="1" applyAlignment="1">
      <alignment vertical="center" wrapText="1"/>
    </xf>
    <xf numFmtId="0" fontId="3" fillId="0" borderId="43" xfId="4" applyBorder="1" applyAlignment="1">
      <alignment horizontal="center" vertical="center" wrapText="1"/>
    </xf>
    <xf numFmtId="4" fontId="3" fillId="0" borderId="63" xfId="1" applyNumberFormat="1" applyFont="1" applyBorder="1" applyAlignment="1">
      <alignment horizontal="center" vertical="center"/>
    </xf>
    <xf numFmtId="1" fontId="3" fillId="3" borderId="58" xfId="1" applyNumberFormat="1" applyFont="1" applyFill="1" applyBorder="1" applyAlignment="1">
      <alignment horizontal="center" vertical="center" wrapText="1"/>
    </xf>
    <xf numFmtId="0" fontId="3" fillId="3" borderId="37" xfId="1" applyFont="1" applyFill="1" applyBorder="1" applyAlignment="1">
      <alignment horizontal="center" vertical="center" wrapText="1"/>
    </xf>
    <xf numFmtId="0" fontId="3" fillId="3" borderId="37" xfId="1" applyFont="1" applyFill="1" applyBorder="1" applyAlignment="1">
      <alignment vertical="center" wrapText="1"/>
    </xf>
    <xf numFmtId="4" fontId="18" fillId="0" borderId="65" xfId="1" applyNumberFormat="1" applyFont="1" applyBorder="1" applyAlignment="1">
      <alignment horizontal="center" vertical="center" wrapText="1"/>
    </xf>
    <xf numFmtId="1" fontId="3" fillId="5" borderId="58" xfId="1" applyNumberFormat="1" applyFont="1" applyFill="1" applyBorder="1" applyAlignment="1">
      <alignment horizontal="center" vertical="center" wrapText="1"/>
    </xf>
    <xf numFmtId="4" fontId="19" fillId="0" borderId="65" xfId="1" applyNumberFormat="1" applyFont="1" applyBorder="1" applyAlignment="1">
      <alignment horizontal="center" vertical="center" wrapText="1"/>
    </xf>
    <xf numFmtId="0" fontId="3" fillId="5" borderId="37" xfId="1" applyFont="1" applyFill="1" applyBorder="1" applyAlignment="1">
      <alignment horizontal="center" vertical="center" wrapText="1"/>
    </xf>
    <xf numFmtId="0" fontId="3" fillId="5" borderId="37" xfId="1" applyFont="1" applyFill="1" applyBorder="1" applyAlignment="1">
      <alignment vertical="center" wrapText="1"/>
    </xf>
    <xf numFmtId="1" fontId="20" fillId="5" borderId="0" xfId="1" applyNumberFormat="1" applyFont="1" applyFill="1" applyAlignment="1">
      <alignment horizontal="center" vertical="center" wrapText="1"/>
    </xf>
    <xf numFmtId="0" fontId="20" fillId="5" borderId="0" xfId="1" applyFont="1" applyFill="1" applyAlignment="1">
      <alignment horizontal="center" vertical="center" wrapText="1"/>
    </xf>
    <xf numFmtId="0" fontId="20" fillId="5" borderId="0" xfId="1" applyFont="1" applyFill="1" applyAlignment="1">
      <alignment vertical="center" wrapText="1"/>
    </xf>
    <xf numFmtId="4" fontId="20" fillId="0" borderId="0" xfId="1" applyNumberFormat="1" applyFont="1" applyAlignment="1">
      <alignment horizontal="center" vertical="center" wrapText="1"/>
    </xf>
    <xf numFmtId="0" fontId="5" fillId="3" borderId="12" xfId="1" applyFont="1" applyFill="1" applyBorder="1" applyAlignment="1">
      <alignment horizontal="center" vertical="center"/>
    </xf>
    <xf numFmtId="1" fontId="5" fillId="2" borderId="0" xfId="1" applyNumberFormat="1" applyFont="1" applyFill="1" applyAlignment="1">
      <alignment horizontal="center" vertical="center" wrapText="1"/>
    </xf>
    <xf numFmtId="1" fontId="5" fillId="3" borderId="66" xfId="1" applyNumberFormat="1" applyFont="1" applyFill="1" applyBorder="1" applyAlignment="1">
      <alignment horizontal="center" vertical="center"/>
    </xf>
    <xf numFmtId="0" fontId="5" fillId="3" borderId="43" xfId="1" applyFont="1" applyFill="1" applyBorder="1" applyAlignment="1">
      <alignment horizontal="center" vertical="center"/>
    </xf>
    <xf numFmtId="0" fontId="5" fillId="3" borderId="31" xfId="1" applyFont="1" applyFill="1" applyBorder="1" applyAlignment="1">
      <alignment horizontal="center" vertical="center"/>
    </xf>
    <xf numFmtId="0" fontId="4" fillId="0" borderId="33" xfId="1" applyFont="1" applyBorder="1" applyAlignment="1">
      <alignment vertical="center" wrapText="1"/>
    </xf>
    <xf numFmtId="1" fontId="3" fillId="0" borderId="44" xfId="1" applyNumberFormat="1" applyFont="1" applyBorder="1" applyAlignment="1">
      <alignment horizontal="center" vertical="center"/>
    </xf>
    <xf numFmtId="3" fontId="3" fillId="0" borderId="8" xfId="0" quotePrefix="1" applyNumberFormat="1" applyFont="1" applyBorder="1" applyAlignment="1" applyProtection="1">
      <alignment vertical="center" wrapText="1"/>
      <protection locked="0"/>
    </xf>
    <xf numFmtId="1" fontId="3" fillId="5" borderId="44" xfId="1" applyNumberFormat="1" applyFont="1" applyFill="1" applyBorder="1" applyAlignment="1">
      <alignment horizontal="center" vertical="center"/>
    </xf>
    <xf numFmtId="4" fontId="19" fillId="0" borderId="41" xfId="1" applyNumberFormat="1" applyFont="1" applyBorder="1" applyAlignment="1">
      <alignment horizontal="center" vertical="center" wrapText="1"/>
    </xf>
    <xf numFmtId="4" fontId="19" fillId="0" borderId="69" xfId="1" applyNumberFormat="1" applyFont="1" applyBorder="1" applyAlignment="1">
      <alignment horizontal="center" vertical="center" wrapText="1"/>
    </xf>
    <xf numFmtId="4" fontId="19" fillId="0" borderId="37" xfId="1" applyNumberFormat="1" applyFont="1" applyBorder="1" applyAlignment="1">
      <alignment horizontal="right" vertical="center" wrapText="1"/>
    </xf>
    <xf numFmtId="4" fontId="19" fillId="0" borderId="64" xfId="1" applyNumberFormat="1" applyFont="1" applyBorder="1" applyAlignment="1">
      <alignment horizontal="right" vertical="center" wrapText="1"/>
    </xf>
    <xf numFmtId="49" fontId="5" fillId="4" borderId="37" xfId="0" applyNumberFormat="1" applyFont="1" applyFill="1" applyBorder="1" applyAlignment="1">
      <alignment horizontal="left" vertical="center" wrapText="1"/>
    </xf>
    <xf numFmtId="49" fontId="5" fillId="4" borderId="38" xfId="0" applyNumberFormat="1" applyFont="1" applyFill="1" applyBorder="1" applyAlignment="1">
      <alignment horizontal="left" vertical="center" wrapText="1"/>
    </xf>
    <xf numFmtId="4" fontId="18" fillId="3" borderId="61" xfId="1" applyNumberFormat="1" applyFont="1" applyFill="1" applyBorder="1" applyAlignment="1">
      <alignment horizontal="right" vertical="center" wrapText="1"/>
    </xf>
    <xf numFmtId="4" fontId="18" fillId="3" borderId="62" xfId="1" applyNumberFormat="1" applyFont="1" applyFill="1" applyBorder="1" applyAlignment="1">
      <alignment horizontal="right" vertical="center" wrapText="1"/>
    </xf>
    <xf numFmtId="1" fontId="5" fillId="3" borderId="13" xfId="1" applyNumberFormat="1" applyFont="1" applyFill="1" applyBorder="1" applyAlignment="1">
      <alignment horizontal="center" vertical="center"/>
    </xf>
    <xf numFmtId="1" fontId="5" fillId="3" borderId="14" xfId="1" applyNumberFormat="1" applyFont="1" applyFill="1" applyBorder="1" applyAlignment="1">
      <alignment horizontal="center" vertical="center"/>
    </xf>
    <xf numFmtId="1" fontId="5" fillId="3" borderId="15" xfId="1" applyNumberFormat="1" applyFont="1" applyFill="1" applyBorder="1" applyAlignment="1">
      <alignment horizontal="center" vertical="center"/>
    </xf>
    <xf numFmtId="4" fontId="18" fillId="3" borderId="37" xfId="1" applyNumberFormat="1" applyFont="1" applyFill="1" applyBorder="1" applyAlignment="1">
      <alignment horizontal="center" vertical="center" wrapText="1"/>
    </xf>
    <xf numFmtId="4" fontId="18" fillId="3" borderId="64" xfId="1" applyNumberFormat="1" applyFont="1" applyFill="1" applyBorder="1" applyAlignment="1">
      <alignment horizontal="center" vertical="center" wrapText="1"/>
    </xf>
    <xf numFmtId="4" fontId="19" fillId="0" borderId="37" xfId="1" applyNumberFormat="1" applyFont="1" applyBorder="1" applyAlignment="1">
      <alignment horizontal="center" vertical="center" wrapText="1"/>
    </xf>
    <xf numFmtId="4" fontId="19" fillId="0" borderId="64" xfId="1" applyNumberFormat="1" applyFont="1" applyBorder="1" applyAlignment="1">
      <alignment horizontal="center" vertical="center" wrapText="1"/>
    </xf>
    <xf numFmtId="49" fontId="5" fillId="4" borderId="36" xfId="0" applyNumberFormat="1" applyFont="1" applyFill="1" applyBorder="1" applyAlignment="1">
      <alignment horizontal="left" vertical="center" wrapText="1"/>
    </xf>
    <xf numFmtId="164" fontId="5" fillId="0" borderId="43" xfId="0" applyNumberFormat="1" applyFont="1" applyBorder="1" applyAlignment="1" applyProtection="1">
      <alignment horizontal="center" vertical="center" wrapText="1"/>
      <protection locked="0"/>
    </xf>
    <xf numFmtId="164" fontId="5" fillId="0" borderId="22" xfId="0" applyNumberFormat="1" applyFont="1" applyBorder="1" applyAlignment="1" applyProtection="1">
      <alignment horizontal="center" vertical="center" wrapText="1"/>
      <protection locked="0"/>
    </xf>
    <xf numFmtId="164" fontId="5" fillId="0" borderId="17" xfId="0" applyNumberFormat="1" applyFont="1" applyBorder="1" applyAlignment="1" applyProtection="1">
      <alignment horizontal="center" vertical="center" wrapText="1"/>
      <protection locked="0"/>
    </xf>
    <xf numFmtId="4" fontId="18" fillId="3" borderId="54" xfId="1" applyNumberFormat="1" applyFont="1" applyFill="1" applyBorder="1" applyAlignment="1">
      <alignment horizontal="right" vertical="center" wrapText="1"/>
    </xf>
    <xf numFmtId="4" fontId="18" fillId="3" borderId="55" xfId="1" applyNumberFormat="1" applyFont="1" applyFill="1" applyBorder="1" applyAlignment="1">
      <alignment horizontal="right" vertical="center" wrapText="1"/>
    </xf>
    <xf numFmtId="0" fontId="5" fillId="4" borderId="36" xfId="0" applyFont="1" applyFill="1" applyBorder="1" applyAlignment="1">
      <alignment horizontal="left" vertical="center"/>
    </xf>
    <xf numFmtId="0" fontId="5" fillId="4" borderId="37" xfId="0" applyFont="1" applyFill="1" applyBorder="1" applyAlignment="1">
      <alignment horizontal="left" vertical="center"/>
    </xf>
    <xf numFmtId="0" fontId="5" fillId="4" borderId="38" xfId="0" applyFont="1" applyFill="1" applyBorder="1" applyAlignment="1">
      <alignment horizontal="left" vertical="center"/>
    </xf>
    <xf numFmtId="49" fontId="5" fillId="4" borderId="36" xfId="0" applyNumberFormat="1" applyFont="1" applyFill="1" applyBorder="1" applyAlignment="1">
      <alignment horizontal="left" vertical="center"/>
    </xf>
    <xf numFmtId="49" fontId="5" fillId="4" borderId="37" xfId="0" applyNumberFormat="1" applyFont="1" applyFill="1" applyBorder="1" applyAlignment="1">
      <alignment horizontal="left" vertical="center"/>
    </xf>
    <xf numFmtId="49" fontId="5" fillId="4" borderId="38" xfId="0" applyNumberFormat="1" applyFont="1" applyFill="1" applyBorder="1" applyAlignment="1">
      <alignment horizontal="left" vertical="center"/>
    </xf>
    <xf numFmtId="4" fontId="5" fillId="3" borderId="5" xfId="1" applyNumberFormat="1" applyFont="1" applyFill="1" applyBorder="1" applyAlignment="1">
      <alignment horizontal="center" vertical="center"/>
    </xf>
    <xf numFmtId="4" fontId="5" fillId="3" borderId="9" xfId="1" applyNumberFormat="1" applyFont="1" applyFill="1" applyBorder="1" applyAlignment="1">
      <alignment horizontal="center" vertical="center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3" fontId="2" fillId="2" borderId="0" xfId="1" applyNumberFormat="1" applyFont="1" applyFill="1" applyAlignment="1">
      <alignment horizontal="center" vertical="center" wrapText="1"/>
    </xf>
    <xf numFmtId="3" fontId="2" fillId="0" borderId="0" xfId="1" applyNumberFormat="1" applyFont="1" applyAlignment="1">
      <alignment horizontal="left" vertical="center" wrapText="1"/>
    </xf>
    <xf numFmtId="1" fontId="5" fillId="3" borderId="1" xfId="1" applyNumberFormat="1" applyFont="1" applyFill="1" applyBorder="1" applyAlignment="1">
      <alignment horizontal="center" vertical="center"/>
    </xf>
    <xf numFmtId="1" fontId="5" fillId="3" borderId="6" xfId="1" applyNumberFormat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49" fontId="5" fillId="3" borderId="2" xfId="1" applyNumberFormat="1" applyFont="1" applyFill="1" applyBorder="1" applyAlignment="1">
      <alignment horizontal="center" vertical="center"/>
    </xf>
    <xf numFmtId="49" fontId="5" fillId="3" borderId="7" xfId="1" applyNumberFormat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>
      <alignment horizontal="center" vertical="center"/>
    </xf>
    <xf numFmtId="4" fontId="5" fillId="3" borderId="7" xfId="1" applyNumberFormat="1" applyFont="1" applyFill="1" applyBorder="1" applyAlignment="1">
      <alignment horizontal="center" vertical="center"/>
    </xf>
    <xf numFmtId="4" fontId="19" fillId="0" borderId="44" xfId="1" applyNumberFormat="1" applyFont="1" applyBorder="1" applyAlignment="1">
      <alignment horizontal="right" vertical="center" wrapText="1"/>
    </xf>
    <xf numFmtId="4" fontId="19" fillId="0" borderId="8" xfId="1" applyNumberFormat="1" applyFont="1" applyBorder="1" applyAlignment="1">
      <alignment horizontal="right" vertical="center" wrapText="1"/>
    </xf>
    <xf numFmtId="4" fontId="19" fillId="0" borderId="67" xfId="1" applyNumberFormat="1" applyFont="1" applyBorder="1" applyAlignment="1">
      <alignment horizontal="right" vertical="center" wrapText="1"/>
    </xf>
    <xf numFmtId="4" fontId="19" fillId="0" borderId="68" xfId="1" applyNumberFormat="1" applyFont="1" applyBorder="1" applyAlignment="1">
      <alignment horizontal="right" vertical="center" wrapText="1"/>
    </xf>
    <xf numFmtId="3" fontId="2" fillId="0" borderId="0" xfId="1" applyNumberFormat="1" applyFont="1" applyAlignment="1">
      <alignment horizontal="center" vertical="center" wrapText="1"/>
    </xf>
    <xf numFmtId="0" fontId="20" fillId="5" borderId="0" xfId="1" applyFont="1" applyFill="1" applyAlignment="1">
      <alignment horizontal="center" vertical="center" wrapText="1"/>
    </xf>
  </cellXfs>
  <cellStyles count="8">
    <cellStyle name="Normalny" xfId="0" builtinId="0"/>
    <cellStyle name="Normalny 2" xfId="4" xr:uid="{00000000-0005-0000-0000-000001000000}"/>
    <cellStyle name="Normalny 3" xfId="1" xr:uid="{00000000-0005-0000-0000-000002000000}"/>
    <cellStyle name="Normalny_4_CZESC MOSTOWA KO poprawiana 2010-06_po zmianach" xfId="3" xr:uid="{00000000-0005-0000-0000-000003000000}"/>
    <cellStyle name="Normalny_SL_KOSZT_Dobr_1" xfId="7" xr:uid="{00000000-0005-0000-0000-000004000000}"/>
    <cellStyle name="Normalny_SL_KOSZT_Dobr_3" xfId="6" xr:uid="{00000000-0005-0000-0000-000005000000}"/>
    <cellStyle name="Normalny_TER_Chełmno_DP 2" xfId="5" xr:uid="{00000000-0005-0000-0000-000006000000}"/>
    <cellStyle name="Normalny_TER_Milsko_droga 2" xfId="2" xr:uid="{00000000-0005-0000-0000-000007000000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as\mosty\2026\243_Przetargi\01_Czarna%20S&#281;dziszowska_dw.987,%20km%2015+427,rz.Czarna_Rzeczka\Materia&#322;y%20przetargowe\Dokumentacja%20OSTATECZNA\Materia&#322;y%20przetargowe\Edytowalne\KO%20Czarna%20Rzeczka%20v10.xlsx" TargetMode="External"/><Relationship Id="rId1" Type="http://schemas.openxmlformats.org/officeDocument/2006/relationships/externalLinkPath" Target="file:///\\Nas\mosty\2026\243_Przetargi\01_Czarna%20S&#281;dziszowska_dw.987,%20km%2015+427,rz.Czarna_Rzeczka\Materia&#322;y%20przetargowe\Dokumentacja%20OSTATECZNA\Materia&#322;y%20przetargowe\Edytowalne\KO%20Czarna%20Rzeczka%20v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KO"/>
      <sheetName val="KI ZZK"/>
    </sheetNames>
    <sheetDataSet>
      <sheetData sheetId="0">
        <row r="8">
          <cell r="C8" t="str">
            <v>CZĘŚĆ DROGOWA - DROGA DOCELOWA</v>
          </cell>
        </row>
        <row r="104">
          <cell r="C104" t="str">
            <v>CZĘŚĆ MOSTOWA - MOST NA BELKACH TYPU KUJAN</v>
          </cell>
        </row>
        <row r="199">
          <cell r="C199" t="str">
            <v>CZĘŚĆ DROGOWA - TELETECHNICZNA</v>
          </cell>
        </row>
        <row r="216">
          <cell r="C216" t="str">
            <v>CZĘŚĆ DROGOWA - OBJAZD TYMCZASOWY</v>
          </cell>
        </row>
        <row r="278">
          <cell r="C278" t="str">
            <v>CZĘŚĆ DROGOWA - MOST TYMCZASOWY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C1:N299"/>
  <sheetViews>
    <sheetView showGridLines="0" showZeros="0" tabSelected="1" view="pageBreakPreview" zoomScale="70" zoomScaleNormal="100" zoomScaleSheetLayoutView="70" workbookViewId="0">
      <pane ySplit="7" topLeftCell="A281" activePane="bottomLeft" state="frozen"/>
      <selection activeCell="F72" sqref="F72"/>
      <selection pane="bottomLeft" activeCell="E299" sqref="E299:H299"/>
    </sheetView>
  </sheetViews>
  <sheetFormatPr defaultColWidth="9.140625" defaultRowHeight="12.75" x14ac:dyDescent="0.25"/>
  <cols>
    <col min="1" max="1" width="20.5703125" style="2" customWidth="1"/>
    <col min="2" max="2" width="1.5703125" style="2" customWidth="1"/>
    <col min="3" max="3" width="10.42578125" style="236" customWidth="1"/>
    <col min="4" max="4" width="14.85546875" style="237" customWidth="1"/>
    <col min="5" max="5" width="45.5703125" style="238" customWidth="1"/>
    <col min="6" max="6" width="7.5703125" style="238" customWidth="1"/>
    <col min="7" max="7" width="12.5703125" style="239" customWidth="1"/>
    <col min="8" max="8" width="15.42578125" style="239" customWidth="1"/>
    <col min="9" max="9" width="22.42578125" style="239" customWidth="1"/>
    <col min="10" max="10" width="2.42578125" style="2" customWidth="1"/>
    <col min="11" max="11" width="23" style="2" customWidth="1"/>
    <col min="12" max="12" width="15" style="2" hidden="1" customWidth="1"/>
    <col min="13" max="13" width="32.5703125" style="2" customWidth="1"/>
    <col min="14" max="14" width="11.42578125" style="2" bestFit="1" customWidth="1"/>
    <col min="15" max="252" width="9.140625" style="2"/>
    <col min="253" max="253" width="20.5703125" style="2" customWidth="1"/>
    <col min="254" max="254" width="1.5703125" style="2" customWidth="1"/>
    <col min="255" max="255" width="4.5703125" style="2" customWidth="1"/>
    <col min="256" max="256" width="11.5703125" style="2" customWidth="1"/>
    <col min="257" max="257" width="45.5703125" style="2" customWidth="1"/>
    <col min="258" max="258" width="7.5703125" style="2" customWidth="1"/>
    <col min="259" max="260" width="12.5703125" style="2" customWidth="1"/>
    <col min="261" max="261" width="18.42578125" style="2" bestFit="1" customWidth="1"/>
    <col min="262" max="262" width="1.5703125" style="2" customWidth="1"/>
    <col min="263" max="263" width="9.42578125" style="2" bestFit="1" customWidth="1"/>
    <col min="264" max="264" width="15" style="2" customWidth="1"/>
    <col min="265" max="265" width="32.5703125" style="2" customWidth="1"/>
    <col min="266" max="266" width="10" style="2" bestFit="1" customWidth="1"/>
    <col min="267" max="267" width="10.140625" style="2" bestFit="1" customWidth="1"/>
    <col min="268" max="268" width="9.42578125" style="2" bestFit="1" customWidth="1"/>
    <col min="269" max="508" width="9.140625" style="2"/>
    <col min="509" max="509" width="20.5703125" style="2" customWidth="1"/>
    <col min="510" max="510" width="1.5703125" style="2" customWidth="1"/>
    <col min="511" max="511" width="4.5703125" style="2" customWidth="1"/>
    <col min="512" max="512" width="11.5703125" style="2" customWidth="1"/>
    <col min="513" max="513" width="45.5703125" style="2" customWidth="1"/>
    <col min="514" max="514" width="7.5703125" style="2" customWidth="1"/>
    <col min="515" max="516" width="12.5703125" style="2" customWidth="1"/>
    <col min="517" max="517" width="18.42578125" style="2" bestFit="1" customWidth="1"/>
    <col min="518" max="518" width="1.5703125" style="2" customWidth="1"/>
    <col min="519" max="519" width="9.42578125" style="2" bestFit="1" customWidth="1"/>
    <col min="520" max="520" width="15" style="2" customWidth="1"/>
    <col min="521" max="521" width="32.5703125" style="2" customWidth="1"/>
    <col min="522" max="522" width="10" style="2" bestFit="1" customWidth="1"/>
    <col min="523" max="523" width="10.140625" style="2" bestFit="1" customWidth="1"/>
    <col min="524" max="524" width="9.42578125" style="2" bestFit="1" customWidth="1"/>
    <col min="525" max="764" width="9.140625" style="2"/>
    <col min="765" max="765" width="20.5703125" style="2" customWidth="1"/>
    <col min="766" max="766" width="1.5703125" style="2" customWidth="1"/>
    <col min="767" max="767" width="4.5703125" style="2" customWidth="1"/>
    <col min="768" max="768" width="11.5703125" style="2" customWidth="1"/>
    <col min="769" max="769" width="45.5703125" style="2" customWidth="1"/>
    <col min="770" max="770" width="7.5703125" style="2" customWidth="1"/>
    <col min="771" max="772" width="12.5703125" style="2" customWidth="1"/>
    <col min="773" max="773" width="18.42578125" style="2" bestFit="1" customWidth="1"/>
    <col min="774" max="774" width="1.5703125" style="2" customWidth="1"/>
    <col min="775" max="775" width="9.42578125" style="2" bestFit="1" customWidth="1"/>
    <col min="776" max="776" width="15" style="2" customWidth="1"/>
    <col min="777" max="777" width="32.5703125" style="2" customWidth="1"/>
    <col min="778" max="778" width="10" style="2" bestFit="1" customWidth="1"/>
    <col min="779" max="779" width="10.140625" style="2" bestFit="1" customWidth="1"/>
    <col min="780" max="780" width="9.42578125" style="2" bestFit="1" customWidth="1"/>
    <col min="781" max="1020" width="9.140625" style="2"/>
    <col min="1021" max="1021" width="20.5703125" style="2" customWidth="1"/>
    <col min="1022" max="1022" width="1.5703125" style="2" customWidth="1"/>
    <col min="1023" max="1023" width="4.5703125" style="2" customWidth="1"/>
    <col min="1024" max="1024" width="11.5703125" style="2" customWidth="1"/>
    <col min="1025" max="1025" width="45.5703125" style="2" customWidth="1"/>
    <col min="1026" max="1026" width="7.5703125" style="2" customWidth="1"/>
    <col min="1027" max="1028" width="12.5703125" style="2" customWidth="1"/>
    <col min="1029" max="1029" width="18.42578125" style="2" bestFit="1" customWidth="1"/>
    <col min="1030" max="1030" width="1.5703125" style="2" customWidth="1"/>
    <col min="1031" max="1031" width="9.42578125" style="2" bestFit="1" customWidth="1"/>
    <col min="1032" max="1032" width="15" style="2" customWidth="1"/>
    <col min="1033" max="1033" width="32.5703125" style="2" customWidth="1"/>
    <col min="1034" max="1034" width="10" style="2" bestFit="1" customWidth="1"/>
    <col min="1035" max="1035" width="10.140625" style="2" bestFit="1" customWidth="1"/>
    <col min="1036" max="1036" width="9.42578125" style="2" bestFit="1" customWidth="1"/>
    <col min="1037" max="1276" width="9.140625" style="2"/>
    <col min="1277" max="1277" width="20.5703125" style="2" customWidth="1"/>
    <col min="1278" max="1278" width="1.5703125" style="2" customWidth="1"/>
    <col min="1279" max="1279" width="4.5703125" style="2" customWidth="1"/>
    <col min="1280" max="1280" width="11.5703125" style="2" customWidth="1"/>
    <col min="1281" max="1281" width="45.5703125" style="2" customWidth="1"/>
    <col min="1282" max="1282" width="7.5703125" style="2" customWidth="1"/>
    <col min="1283" max="1284" width="12.5703125" style="2" customWidth="1"/>
    <col min="1285" max="1285" width="18.42578125" style="2" bestFit="1" customWidth="1"/>
    <col min="1286" max="1286" width="1.5703125" style="2" customWidth="1"/>
    <col min="1287" max="1287" width="9.42578125" style="2" bestFit="1" customWidth="1"/>
    <col min="1288" max="1288" width="15" style="2" customWidth="1"/>
    <col min="1289" max="1289" width="32.5703125" style="2" customWidth="1"/>
    <col min="1290" max="1290" width="10" style="2" bestFit="1" customWidth="1"/>
    <col min="1291" max="1291" width="10.140625" style="2" bestFit="1" customWidth="1"/>
    <col min="1292" max="1292" width="9.42578125" style="2" bestFit="1" customWidth="1"/>
    <col min="1293" max="1532" width="9.140625" style="2"/>
    <col min="1533" max="1533" width="20.5703125" style="2" customWidth="1"/>
    <col min="1534" max="1534" width="1.5703125" style="2" customWidth="1"/>
    <col min="1535" max="1535" width="4.5703125" style="2" customWidth="1"/>
    <col min="1536" max="1536" width="11.5703125" style="2" customWidth="1"/>
    <col min="1537" max="1537" width="45.5703125" style="2" customWidth="1"/>
    <col min="1538" max="1538" width="7.5703125" style="2" customWidth="1"/>
    <col min="1539" max="1540" width="12.5703125" style="2" customWidth="1"/>
    <col min="1541" max="1541" width="18.42578125" style="2" bestFit="1" customWidth="1"/>
    <col min="1542" max="1542" width="1.5703125" style="2" customWidth="1"/>
    <col min="1543" max="1543" width="9.42578125" style="2" bestFit="1" customWidth="1"/>
    <col min="1544" max="1544" width="15" style="2" customWidth="1"/>
    <col min="1545" max="1545" width="32.5703125" style="2" customWidth="1"/>
    <col min="1546" max="1546" width="10" style="2" bestFit="1" customWidth="1"/>
    <col min="1547" max="1547" width="10.140625" style="2" bestFit="1" customWidth="1"/>
    <col min="1548" max="1548" width="9.42578125" style="2" bestFit="1" customWidth="1"/>
    <col min="1549" max="1788" width="9.140625" style="2"/>
    <col min="1789" max="1789" width="20.5703125" style="2" customWidth="1"/>
    <col min="1790" max="1790" width="1.5703125" style="2" customWidth="1"/>
    <col min="1791" max="1791" width="4.5703125" style="2" customWidth="1"/>
    <col min="1792" max="1792" width="11.5703125" style="2" customWidth="1"/>
    <col min="1793" max="1793" width="45.5703125" style="2" customWidth="1"/>
    <col min="1794" max="1794" width="7.5703125" style="2" customWidth="1"/>
    <col min="1795" max="1796" width="12.5703125" style="2" customWidth="1"/>
    <col min="1797" max="1797" width="18.42578125" style="2" bestFit="1" customWidth="1"/>
    <col min="1798" max="1798" width="1.5703125" style="2" customWidth="1"/>
    <col min="1799" max="1799" width="9.42578125" style="2" bestFit="1" customWidth="1"/>
    <col min="1800" max="1800" width="15" style="2" customWidth="1"/>
    <col min="1801" max="1801" width="32.5703125" style="2" customWidth="1"/>
    <col min="1802" max="1802" width="10" style="2" bestFit="1" customWidth="1"/>
    <col min="1803" max="1803" width="10.140625" style="2" bestFit="1" customWidth="1"/>
    <col min="1804" max="1804" width="9.42578125" style="2" bestFit="1" customWidth="1"/>
    <col min="1805" max="2044" width="9.140625" style="2"/>
    <col min="2045" max="2045" width="20.5703125" style="2" customWidth="1"/>
    <col min="2046" max="2046" width="1.5703125" style="2" customWidth="1"/>
    <col min="2047" max="2047" width="4.5703125" style="2" customWidth="1"/>
    <col min="2048" max="2048" width="11.5703125" style="2" customWidth="1"/>
    <col min="2049" max="2049" width="45.5703125" style="2" customWidth="1"/>
    <col min="2050" max="2050" width="7.5703125" style="2" customWidth="1"/>
    <col min="2051" max="2052" width="12.5703125" style="2" customWidth="1"/>
    <col min="2053" max="2053" width="18.42578125" style="2" bestFit="1" customWidth="1"/>
    <col min="2054" max="2054" width="1.5703125" style="2" customWidth="1"/>
    <col min="2055" max="2055" width="9.42578125" style="2" bestFit="1" customWidth="1"/>
    <col min="2056" max="2056" width="15" style="2" customWidth="1"/>
    <col min="2057" max="2057" width="32.5703125" style="2" customWidth="1"/>
    <col min="2058" max="2058" width="10" style="2" bestFit="1" customWidth="1"/>
    <col min="2059" max="2059" width="10.140625" style="2" bestFit="1" customWidth="1"/>
    <col min="2060" max="2060" width="9.42578125" style="2" bestFit="1" customWidth="1"/>
    <col min="2061" max="2300" width="9.140625" style="2"/>
    <col min="2301" max="2301" width="20.5703125" style="2" customWidth="1"/>
    <col min="2302" max="2302" width="1.5703125" style="2" customWidth="1"/>
    <col min="2303" max="2303" width="4.5703125" style="2" customWidth="1"/>
    <col min="2304" max="2304" width="11.5703125" style="2" customWidth="1"/>
    <col min="2305" max="2305" width="45.5703125" style="2" customWidth="1"/>
    <col min="2306" max="2306" width="7.5703125" style="2" customWidth="1"/>
    <col min="2307" max="2308" width="12.5703125" style="2" customWidth="1"/>
    <col min="2309" max="2309" width="18.42578125" style="2" bestFit="1" customWidth="1"/>
    <col min="2310" max="2310" width="1.5703125" style="2" customWidth="1"/>
    <col min="2311" max="2311" width="9.42578125" style="2" bestFit="1" customWidth="1"/>
    <col min="2312" max="2312" width="15" style="2" customWidth="1"/>
    <col min="2313" max="2313" width="32.5703125" style="2" customWidth="1"/>
    <col min="2314" max="2314" width="10" style="2" bestFit="1" customWidth="1"/>
    <col min="2315" max="2315" width="10.140625" style="2" bestFit="1" customWidth="1"/>
    <col min="2316" max="2316" width="9.42578125" style="2" bestFit="1" customWidth="1"/>
    <col min="2317" max="2556" width="9.140625" style="2"/>
    <col min="2557" max="2557" width="20.5703125" style="2" customWidth="1"/>
    <col min="2558" max="2558" width="1.5703125" style="2" customWidth="1"/>
    <col min="2559" max="2559" width="4.5703125" style="2" customWidth="1"/>
    <col min="2560" max="2560" width="11.5703125" style="2" customWidth="1"/>
    <col min="2561" max="2561" width="45.5703125" style="2" customWidth="1"/>
    <col min="2562" max="2562" width="7.5703125" style="2" customWidth="1"/>
    <col min="2563" max="2564" width="12.5703125" style="2" customWidth="1"/>
    <col min="2565" max="2565" width="18.42578125" style="2" bestFit="1" customWidth="1"/>
    <col min="2566" max="2566" width="1.5703125" style="2" customWidth="1"/>
    <col min="2567" max="2567" width="9.42578125" style="2" bestFit="1" customWidth="1"/>
    <col min="2568" max="2568" width="15" style="2" customWidth="1"/>
    <col min="2569" max="2569" width="32.5703125" style="2" customWidth="1"/>
    <col min="2570" max="2570" width="10" style="2" bestFit="1" customWidth="1"/>
    <col min="2571" max="2571" width="10.140625" style="2" bestFit="1" customWidth="1"/>
    <col min="2572" max="2572" width="9.42578125" style="2" bestFit="1" customWidth="1"/>
    <col min="2573" max="2812" width="9.140625" style="2"/>
    <col min="2813" max="2813" width="20.5703125" style="2" customWidth="1"/>
    <col min="2814" max="2814" width="1.5703125" style="2" customWidth="1"/>
    <col min="2815" max="2815" width="4.5703125" style="2" customWidth="1"/>
    <col min="2816" max="2816" width="11.5703125" style="2" customWidth="1"/>
    <col min="2817" max="2817" width="45.5703125" style="2" customWidth="1"/>
    <col min="2818" max="2818" width="7.5703125" style="2" customWidth="1"/>
    <col min="2819" max="2820" width="12.5703125" style="2" customWidth="1"/>
    <col min="2821" max="2821" width="18.42578125" style="2" bestFit="1" customWidth="1"/>
    <col min="2822" max="2822" width="1.5703125" style="2" customWidth="1"/>
    <col min="2823" max="2823" width="9.42578125" style="2" bestFit="1" customWidth="1"/>
    <col min="2824" max="2824" width="15" style="2" customWidth="1"/>
    <col min="2825" max="2825" width="32.5703125" style="2" customWidth="1"/>
    <col min="2826" max="2826" width="10" style="2" bestFit="1" customWidth="1"/>
    <col min="2827" max="2827" width="10.140625" style="2" bestFit="1" customWidth="1"/>
    <col min="2828" max="2828" width="9.42578125" style="2" bestFit="1" customWidth="1"/>
    <col min="2829" max="3068" width="9.140625" style="2"/>
    <col min="3069" max="3069" width="20.5703125" style="2" customWidth="1"/>
    <col min="3070" max="3070" width="1.5703125" style="2" customWidth="1"/>
    <col min="3071" max="3071" width="4.5703125" style="2" customWidth="1"/>
    <col min="3072" max="3072" width="11.5703125" style="2" customWidth="1"/>
    <col min="3073" max="3073" width="45.5703125" style="2" customWidth="1"/>
    <col min="3074" max="3074" width="7.5703125" style="2" customWidth="1"/>
    <col min="3075" max="3076" width="12.5703125" style="2" customWidth="1"/>
    <col min="3077" max="3077" width="18.42578125" style="2" bestFit="1" customWidth="1"/>
    <col min="3078" max="3078" width="1.5703125" style="2" customWidth="1"/>
    <col min="3079" max="3079" width="9.42578125" style="2" bestFit="1" customWidth="1"/>
    <col min="3080" max="3080" width="15" style="2" customWidth="1"/>
    <col min="3081" max="3081" width="32.5703125" style="2" customWidth="1"/>
    <col min="3082" max="3082" width="10" style="2" bestFit="1" customWidth="1"/>
    <col min="3083" max="3083" width="10.140625" style="2" bestFit="1" customWidth="1"/>
    <col min="3084" max="3084" width="9.42578125" style="2" bestFit="1" customWidth="1"/>
    <col min="3085" max="3324" width="9.140625" style="2"/>
    <col min="3325" max="3325" width="20.5703125" style="2" customWidth="1"/>
    <col min="3326" max="3326" width="1.5703125" style="2" customWidth="1"/>
    <col min="3327" max="3327" width="4.5703125" style="2" customWidth="1"/>
    <col min="3328" max="3328" width="11.5703125" style="2" customWidth="1"/>
    <col min="3329" max="3329" width="45.5703125" style="2" customWidth="1"/>
    <col min="3330" max="3330" width="7.5703125" style="2" customWidth="1"/>
    <col min="3331" max="3332" width="12.5703125" style="2" customWidth="1"/>
    <col min="3333" max="3333" width="18.42578125" style="2" bestFit="1" customWidth="1"/>
    <col min="3334" max="3334" width="1.5703125" style="2" customWidth="1"/>
    <col min="3335" max="3335" width="9.42578125" style="2" bestFit="1" customWidth="1"/>
    <col min="3336" max="3336" width="15" style="2" customWidth="1"/>
    <col min="3337" max="3337" width="32.5703125" style="2" customWidth="1"/>
    <col min="3338" max="3338" width="10" style="2" bestFit="1" customWidth="1"/>
    <col min="3339" max="3339" width="10.140625" style="2" bestFit="1" customWidth="1"/>
    <col min="3340" max="3340" width="9.42578125" style="2" bestFit="1" customWidth="1"/>
    <col min="3341" max="3580" width="9.140625" style="2"/>
    <col min="3581" max="3581" width="20.5703125" style="2" customWidth="1"/>
    <col min="3582" max="3582" width="1.5703125" style="2" customWidth="1"/>
    <col min="3583" max="3583" width="4.5703125" style="2" customWidth="1"/>
    <col min="3584" max="3584" width="11.5703125" style="2" customWidth="1"/>
    <col min="3585" max="3585" width="45.5703125" style="2" customWidth="1"/>
    <col min="3586" max="3586" width="7.5703125" style="2" customWidth="1"/>
    <col min="3587" max="3588" width="12.5703125" style="2" customWidth="1"/>
    <col min="3589" max="3589" width="18.42578125" style="2" bestFit="1" customWidth="1"/>
    <col min="3590" max="3590" width="1.5703125" style="2" customWidth="1"/>
    <col min="3591" max="3591" width="9.42578125" style="2" bestFit="1" customWidth="1"/>
    <col min="3592" max="3592" width="15" style="2" customWidth="1"/>
    <col min="3593" max="3593" width="32.5703125" style="2" customWidth="1"/>
    <col min="3594" max="3594" width="10" style="2" bestFit="1" customWidth="1"/>
    <col min="3595" max="3595" width="10.140625" style="2" bestFit="1" customWidth="1"/>
    <col min="3596" max="3596" width="9.42578125" style="2" bestFit="1" customWidth="1"/>
    <col min="3597" max="3836" width="9.140625" style="2"/>
    <col min="3837" max="3837" width="20.5703125" style="2" customWidth="1"/>
    <col min="3838" max="3838" width="1.5703125" style="2" customWidth="1"/>
    <col min="3839" max="3839" width="4.5703125" style="2" customWidth="1"/>
    <col min="3840" max="3840" width="11.5703125" style="2" customWidth="1"/>
    <col min="3841" max="3841" width="45.5703125" style="2" customWidth="1"/>
    <col min="3842" max="3842" width="7.5703125" style="2" customWidth="1"/>
    <col min="3843" max="3844" width="12.5703125" style="2" customWidth="1"/>
    <col min="3845" max="3845" width="18.42578125" style="2" bestFit="1" customWidth="1"/>
    <col min="3846" max="3846" width="1.5703125" style="2" customWidth="1"/>
    <col min="3847" max="3847" width="9.42578125" style="2" bestFit="1" customWidth="1"/>
    <col min="3848" max="3848" width="15" style="2" customWidth="1"/>
    <col min="3849" max="3849" width="32.5703125" style="2" customWidth="1"/>
    <col min="3850" max="3850" width="10" style="2" bestFit="1" customWidth="1"/>
    <col min="3851" max="3851" width="10.140625" style="2" bestFit="1" customWidth="1"/>
    <col min="3852" max="3852" width="9.42578125" style="2" bestFit="1" customWidth="1"/>
    <col min="3853" max="4092" width="9.140625" style="2"/>
    <col min="4093" max="4093" width="20.5703125" style="2" customWidth="1"/>
    <col min="4094" max="4094" width="1.5703125" style="2" customWidth="1"/>
    <col min="4095" max="4095" width="4.5703125" style="2" customWidth="1"/>
    <col min="4096" max="4096" width="11.5703125" style="2" customWidth="1"/>
    <col min="4097" max="4097" width="45.5703125" style="2" customWidth="1"/>
    <col min="4098" max="4098" width="7.5703125" style="2" customWidth="1"/>
    <col min="4099" max="4100" width="12.5703125" style="2" customWidth="1"/>
    <col min="4101" max="4101" width="18.42578125" style="2" bestFit="1" customWidth="1"/>
    <col min="4102" max="4102" width="1.5703125" style="2" customWidth="1"/>
    <col min="4103" max="4103" width="9.42578125" style="2" bestFit="1" customWidth="1"/>
    <col min="4104" max="4104" width="15" style="2" customWidth="1"/>
    <col min="4105" max="4105" width="32.5703125" style="2" customWidth="1"/>
    <col min="4106" max="4106" width="10" style="2" bestFit="1" customWidth="1"/>
    <col min="4107" max="4107" width="10.140625" style="2" bestFit="1" customWidth="1"/>
    <col min="4108" max="4108" width="9.42578125" style="2" bestFit="1" customWidth="1"/>
    <col min="4109" max="4348" width="9.140625" style="2"/>
    <col min="4349" max="4349" width="20.5703125" style="2" customWidth="1"/>
    <col min="4350" max="4350" width="1.5703125" style="2" customWidth="1"/>
    <col min="4351" max="4351" width="4.5703125" style="2" customWidth="1"/>
    <col min="4352" max="4352" width="11.5703125" style="2" customWidth="1"/>
    <col min="4353" max="4353" width="45.5703125" style="2" customWidth="1"/>
    <col min="4354" max="4354" width="7.5703125" style="2" customWidth="1"/>
    <col min="4355" max="4356" width="12.5703125" style="2" customWidth="1"/>
    <col min="4357" max="4357" width="18.42578125" style="2" bestFit="1" customWidth="1"/>
    <col min="4358" max="4358" width="1.5703125" style="2" customWidth="1"/>
    <col min="4359" max="4359" width="9.42578125" style="2" bestFit="1" customWidth="1"/>
    <col min="4360" max="4360" width="15" style="2" customWidth="1"/>
    <col min="4361" max="4361" width="32.5703125" style="2" customWidth="1"/>
    <col min="4362" max="4362" width="10" style="2" bestFit="1" customWidth="1"/>
    <col min="4363" max="4363" width="10.140625" style="2" bestFit="1" customWidth="1"/>
    <col min="4364" max="4364" width="9.42578125" style="2" bestFit="1" customWidth="1"/>
    <col min="4365" max="4604" width="9.140625" style="2"/>
    <col min="4605" max="4605" width="20.5703125" style="2" customWidth="1"/>
    <col min="4606" max="4606" width="1.5703125" style="2" customWidth="1"/>
    <col min="4607" max="4607" width="4.5703125" style="2" customWidth="1"/>
    <col min="4608" max="4608" width="11.5703125" style="2" customWidth="1"/>
    <col min="4609" max="4609" width="45.5703125" style="2" customWidth="1"/>
    <col min="4610" max="4610" width="7.5703125" style="2" customWidth="1"/>
    <col min="4611" max="4612" width="12.5703125" style="2" customWidth="1"/>
    <col min="4613" max="4613" width="18.42578125" style="2" bestFit="1" customWidth="1"/>
    <col min="4614" max="4614" width="1.5703125" style="2" customWidth="1"/>
    <col min="4615" max="4615" width="9.42578125" style="2" bestFit="1" customWidth="1"/>
    <col min="4616" max="4616" width="15" style="2" customWidth="1"/>
    <col min="4617" max="4617" width="32.5703125" style="2" customWidth="1"/>
    <col min="4618" max="4618" width="10" style="2" bestFit="1" customWidth="1"/>
    <col min="4619" max="4619" width="10.140625" style="2" bestFit="1" customWidth="1"/>
    <col min="4620" max="4620" width="9.42578125" style="2" bestFit="1" customWidth="1"/>
    <col min="4621" max="4860" width="9.140625" style="2"/>
    <col min="4861" max="4861" width="20.5703125" style="2" customWidth="1"/>
    <col min="4862" max="4862" width="1.5703125" style="2" customWidth="1"/>
    <col min="4863" max="4863" width="4.5703125" style="2" customWidth="1"/>
    <col min="4864" max="4864" width="11.5703125" style="2" customWidth="1"/>
    <col min="4865" max="4865" width="45.5703125" style="2" customWidth="1"/>
    <col min="4866" max="4866" width="7.5703125" style="2" customWidth="1"/>
    <col min="4867" max="4868" width="12.5703125" style="2" customWidth="1"/>
    <col min="4869" max="4869" width="18.42578125" style="2" bestFit="1" customWidth="1"/>
    <col min="4870" max="4870" width="1.5703125" style="2" customWidth="1"/>
    <col min="4871" max="4871" width="9.42578125" style="2" bestFit="1" customWidth="1"/>
    <col min="4872" max="4872" width="15" style="2" customWidth="1"/>
    <col min="4873" max="4873" width="32.5703125" style="2" customWidth="1"/>
    <col min="4874" max="4874" width="10" style="2" bestFit="1" customWidth="1"/>
    <col min="4875" max="4875" width="10.140625" style="2" bestFit="1" customWidth="1"/>
    <col min="4876" max="4876" width="9.42578125" style="2" bestFit="1" customWidth="1"/>
    <col min="4877" max="5116" width="9.140625" style="2"/>
    <col min="5117" max="5117" width="20.5703125" style="2" customWidth="1"/>
    <col min="5118" max="5118" width="1.5703125" style="2" customWidth="1"/>
    <col min="5119" max="5119" width="4.5703125" style="2" customWidth="1"/>
    <col min="5120" max="5120" width="11.5703125" style="2" customWidth="1"/>
    <col min="5121" max="5121" width="45.5703125" style="2" customWidth="1"/>
    <col min="5122" max="5122" width="7.5703125" style="2" customWidth="1"/>
    <col min="5123" max="5124" width="12.5703125" style="2" customWidth="1"/>
    <col min="5125" max="5125" width="18.42578125" style="2" bestFit="1" customWidth="1"/>
    <col min="5126" max="5126" width="1.5703125" style="2" customWidth="1"/>
    <col min="5127" max="5127" width="9.42578125" style="2" bestFit="1" customWidth="1"/>
    <col min="5128" max="5128" width="15" style="2" customWidth="1"/>
    <col min="5129" max="5129" width="32.5703125" style="2" customWidth="1"/>
    <col min="5130" max="5130" width="10" style="2" bestFit="1" customWidth="1"/>
    <col min="5131" max="5131" width="10.140625" style="2" bestFit="1" customWidth="1"/>
    <col min="5132" max="5132" width="9.42578125" style="2" bestFit="1" customWidth="1"/>
    <col min="5133" max="5372" width="9.140625" style="2"/>
    <col min="5373" max="5373" width="20.5703125" style="2" customWidth="1"/>
    <col min="5374" max="5374" width="1.5703125" style="2" customWidth="1"/>
    <col min="5375" max="5375" width="4.5703125" style="2" customWidth="1"/>
    <col min="5376" max="5376" width="11.5703125" style="2" customWidth="1"/>
    <col min="5377" max="5377" width="45.5703125" style="2" customWidth="1"/>
    <col min="5378" max="5378" width="7.5703125" style="2" customWidth="1"/>
    <col min="5379" max="5380" width="12.5703125" style="2" customWidth="1"/>
    <col min="5381" max="5381" width="18.42578125" style="2" bestFit="1" customWidth="1"/>
    <col min="5382" max="5382" width="1.5703125" style="2" customWidth="1"/>
    <col min="5383" max="5383" width="9.42578125" style="2" bestFit="1" customWidth="1"/>
    <col min="5384" max="5384" width="15" style="2" customWidth="1"/>
    <col min="5385" max="5385" width="32.5703125" style="2" customWidth="1"/>
    <col min="5386" max="5386" width="10" style="2" bestFit="1" customWidth="1"/>
    <col min="5387" max="5387" width="10.140625" style="2" bestFit="1" customWidth="1"/>
    <col min="5388" max="5388" width="9.42578125" style="2" bestFit="1" customWidth="1"/>
    <col min="5389" max="5628" width="9.140625" style="2"/>
    <col min="5629" max="5629" width="20.5703125" style="2" customWidth="1"/>
    <col min="5630" max="5630" width="1.5703125" style="2" customWidth="1"/>
    <col min="5631" max="5631" width="4.5703125" style="2" customWidth="1"/>
    <col min="5632" max="5632" width="11.5703125" style="2" customWidth="1"/>
    <col min="5633" max="5633" width="45.5703125" style="2" customWidth="1"/>
    <col min="5634" max="5634" width="7.5703125" style="2" customWidth="1"/>
    <col min="5635" max="5636" width="12.5703125" style="2" customWidth="1"/>
    <col min="5637" max="5637" width="18.42578125" style="2" bestFit="1" customWidth="1"/>
    <col min="5638" max="5638" width="1.5703125" style="2" customWidth="1"/>
    <col min="5639" max="5639" width="9.42578125" style="2" bestFit="1" customWidth="1"/>
    <col min="5640" max="5640" width="15" style="2" customWidth="1"/>
    <col min="5641" max="5641" width="32.5703125" style="2" customWidth="1"/>
    <col min="5642" max="5642" width="10" style="2" bestFit="1" customWidth="1"/>
    <col min="5643" max="5643" width="10.140625" style="2" bestFit="1" customWidth="1"/>
    <col min="5644" max="5644" width="9.42578125" style="2" bestFit="1" customWidth="1"/>
    <col min="5645" max="5884" width="9.140625" style="2"/>
    <col min="5885" max="5885" width="20.5703125" style="2" customWidth="1"/>
    <col min="5886" max="5886" width="1.5703125" style="2" customWidth="1"/>
    <col min="5887" max="5887" width="4.5703125" style="2" customWidth="1"/>
    <col min="5888" max="5888" width="11.5703125" style="2" customWidth="1"/>
    <col min="5889" max="5889" width="45.5703125" style="2" customWidth="1"/>
    <col min="5890" max="5890" width="7.5703125" style="2" customWidth="1"/>
    <col min="5891" max="5892" width="12.5703125" style="2" customWidth="1"/>
    <col min="5893" max="5893" width="18.42578125" style="2" bestFit="1" customWidth="1"/>
    <col min="5894" max="5894" width="1.5703125" style="2" customWidth="1"/>
    <col min="5895" max="5895" width="9.42578125" style="2" bestFit="1" customWidth="1"/>
    <col min="5896" max="5896" width="15" style="2" customWidth="1"/>
    <col min="5897" max="5897" width="32.5703125" style="2" customWidth="1"/>
    <col min="5898" max="5898" width="10" style="2" bestFit="1" customWidth="1"/>
    <col min="5899" max="5899" width="10.140625" style="2" bestFit="1" customWidth="1"/>
    <col min="5900" max="5900" width="9.42578125" style="2" bestFit="1" customWidth="1"/>
    <col min="5901" max="6140" width="9.140625" style="2"/>
    <col min="6141" max="6141" width="20.5703125" style="2" customWidth="1"/>
    <col min="6142" max="6142" width="1.5703125" style="2" customWidth="1"/>
    <col min="6143" max="6143" width="4.5703125" style="2" customWidth="1"/>
    <col min="6144" max="6144" width="11.5703125" style="2" customWidth="1"/>
    <col min="6145" max="6145" width="45.5703125" style="2" customWidth="1"/>
    <col min="6146" max="6146" width="7.5703125" style="2" customWidth="1"/>
    <col min="6147" max="6148" width="12.5703125" style="2" customWidth="1"/>
    <col min="6149" max="6149" width="18.42578125" style="2" bestFit="1" customWidth="1"/>
    <col min="6150" max="6150" width="1.5703125" style="2" customWidth="1"/>
    <col min="6151" max="6151" width="9.42578125" style="2" bestFit="1" customWidth="1"/>
    <col min="6152" max="6152" width="15" style="2" customWidth="1"/>
    <col min="6153" max="6153" width="32.5703125" style="2" customWidth="1"/>
    <col min="6154" max="6154" width="10" style="2" bestFit="1" customWidth="1"/>
    <col min="6155" max="6155" width="10.140625" style="2" bestFit="1" customWidth="1"/>
    <col min="6156" max="6156" width="9.42578125" style="2" bestFit="1" customWidth="1"/>
    <col min="6157" max="6396" width="9.140625" style="2"/>
    <col min="6397" max="6397" width="20.5703125" style="2" customWidth="1"/>
    <col min="6398" max="6398" width="1.5703125" style="2" customWidth="1"/>
    <col min="6399" max="6399" width="4.5703125" style="2" customWidth="1"/>
    <col min="6400" max="6400" width="11.5703125" style="2" customWidth="1"/>
    <col min="6401" max="6401" width="45.5703125" style="2" customWidth="1"/>
    <col min="6402" max="6402" width="7.5703125" style="2" customWidth="1"/>
    <col min="6403" max="6404" width="12.5703125" style="2" customWidth="1"/>
    <col min="6405" max="6405" width="18.42578125" style="2" bestFit="1" customWidth="1"/>
    <col min="6406" max="6406" width="1.5703125" style="2" customWidth="1"/>
    <col min="6407" max="6407" width="9.42578125" style="2" bestFit="1" customWidth="1"/>
    <col min="6408" max="6408" width="15" style="2" customWidth="1"/>
    <col min="6409" max="6409" width="32.5703125" style="2" customWidth="1"/>
    <col min="6410" max="6410" width="10" style="2" bestFit="1" customWidth="1"/>
    <col min="6411" max="6411" width="10.140625" style="2" bestFit="1" customWidth="1"/>
    <col min="6412" max="6412" width="9.42578125" style="2" bestFit="1" customWidth="1"/>
    <col min="6413" max="6652" width="9.140625" style="2"/>
    <col min="6653" max="6653" width="20.5703125" style="2" customWidth="1"/>
    <col min="6654" max="6654" width="1.5703125" style="2" customWidth="1"/>
    <col min="6655" max="6655" width="4.5703125" style="2" customWidth="1"/>
    <col min="6656" max="6656" width="11.5703125" style="2" customWidth="1"/>
    <col min="6657" max="6657" width="45.5703125" style="2" customWidth="1"/>
    <col min="6658" max="6658" width="7.5703125" style="2" customWidth="1"/>
    <col min="6659" max="6660" width="12.5703125" style="2" customWidth="1"/>
    <col min="6661" max="6661" width="18.42578125" style="2" bestFit="1" customWidth="1"/>
    <col min="6662" max="6662" width="1.5703125" style="2" customWidth="1"/>
    <col min="6663" max="6663" width="9.42578125" style="2" bestFit="1" customWidth="1"/>
    <col min="6664" max="6664" width="15" style="2" customWidth="1"/>
    <col min="6665" max="6665" width="32.5703125" style="2" customWidth="1"/>
    <col min="6666" max="6666" width="10" style="2" bestFit="1" customWidth="1"/>
    <col min="6667" max="6667" width="10.140625" style="2" bestFit="1" customWidth="1"/>
    <col min="6668" max="6668" width="9.42578125" style="2" bestFit="1" customWidth="1"/>
    <col min="6669" max="6908" width="9.140625" style="2"/>
    <col min="6909" max="6909" width="20.5703125" style="2" customWidth="1"/>
    <col min="6910" max="6910" width="1.5703125" style="2" customWidth="1"/>
    <col min="6911" max="6911" width="4.5703125" style="2" customWidth="1"/>
    <col min="6912" max="6912" width="11.5703125" style="2" customWidth="1"/>
    <col min="6913" max="6913" width="45.5703125" style="2" customWidth="1"/>
    <col min="6914" max="6914" width="7.5703125" style="2" customWidth="1"/>
    <col min="6915" max="6916" width="12.5703125" style="2" customWidth="1"/>
    <col min="6917" max="6917" width="18.42578125" style="2" bestFit="1" customWidth="1"/>
    <col min="6918" max="6918" width="1.5703125" style="2" customWidth="1"/>
    <col min="6919" max="6919" width="9.42578125" style="2" bestFit="1" customWidth="1"/>
    <col min="6920" max="6920" width="15" style="2" customWidth="1"/>
    <col min="6921" max="6921" width="32.5703125" style="2" customWidth="1"/>
    <col min="6922" max="6922" width="10" style="2" bestFit="1" customWidth="1"/>
    <col min="6923" max="6923" width="10.140625" style="2" bestFit="1" customWidth="1"/>
    <col min="6924" max="6924" width="9.42578125" style="2" bestFit="1" customWidth="1"/>
    <col min="6925" max="7164" width="9.140625" style="2"/>
    <col min="7165" max="7165" width="20.5703125" style="2" customWidth="1"/>
    <col min="7166" max="7166" width="1.5703125" style="2" customWidth="1"/>
    <col min="7167" max="7167" width="4.5703125" style="2" customWidth="1"/>
    <col min="7168" max="7168" width="11.5703125" style="2" customWidth="1"/>
    <col min="7169" max="7169" width="45.5703125" style="2" customWidth="1"/>
    <col min="7170" max="7170" width="7.5703125" style="2" customWidth="1"/>
    <col min="7171" max="7172" width="12.5703125" style="2" customWidth="1"/>
    <col min="7173" max="7173" width="18.42578125" style="2" bestFit="1" customWidth="1"/>
    <col min="7174" max="7174" width="1.5703125" style="2" customWidth="1"/>
    <col min="7175" max="7175" width="9.42578125" style="2" bestFit="1" customWidth="1"/>
    <col min="7176" max="7176" width="15" style="2" customWidth="1"/>
    <col min="7177" max="7177" width="32.5703125" style="2" customWidth="1"/>
    <col min="7178" max="7178" width="10" style="2" bestFit="1" customWidth="1"/>
    <col min="7179" max="7179" width="10.140625" style="2" bestFit="1" customWidth="1"/>
    <col min="7180" max="7180" width="9.42578125" style="2" bestFit="1" customWidth="1"/>
    <col min="7181" max="7420" width="9.140625" style="2"/>
    <col min="7421" max="7421" width="20.5703125" style="2" customWidth="1"/>
    <col min="7422" max="7422" width="1.5703125" style="2" customWidth="1"/>
    <col min="7423" max="7423" width="4.5703125" style="2" customWidth="1"/>
    <col min="7424" max="7424" width="11.5703125" style="2" customWidth="1"/>
    <col min="7425" max="7425" width="45.5703125" style="2" customWidth="1"/>
    <col min="7426" max="7426" width="7.5703125" style="2" customWidth="1"/>
    <col min="7427" max="7428" width="12.5703125" style="2" customWidth="1"/>
    <col min="7429" max="7429" width="18.42578125" style="2" bestFit="1" customWidth="1"/>
    <col min="7430" max="7430" width="1.5703125" style="2" customWidth="1"/>
    <col min="7431" max="7431" width="9.42578125" style="2" bestFit="1" customWidth="1"/>
    <col min="7432" max="7432" width="15" style="2" customWidth="1"/>
    <col min="7433" max="7433" width="32.5703125" style="2" customWidth="1"/>
    <col min="7434" max="7434" width="10" style="2" bestFit="1" customWidth="1"/>
    <col min="7435" max="7435" width="10.140625" style="2" bestFit="1" customWidth="1"/>
    <col min="7436" max="7436" width="9.42578125" style="2" bestFit="1" customWidth="1"/>
    <col min="7437" max="7676" width="9.140625" style="2"/>
    <col min="7677" max="7677" width="20.5703125" style="2" customWidth="1"/>
    <col min="7678" max="7678" width="1.5703125" style="2" customWidth="1"/>
    <col min="7679" max="7679" width="4.5703125" style="2" customWidth="1"/>
    <col min="7680" max="7680" width="11.5703125" style="2" customWidth="1"/>
    <col min="7681" max="7681" width="45.5703125" style="2" customWidth="1"/>
    <col min="7682" max="7682" width="7.5703125" style="2" customWidth="1"/>
    <col min="7683" max="7684" width="12.5703125" style="2" customWidth="1"/>
    <col min="7685" max="7685" width="18.42578125" style="2" bestFit="1" customWidth="1"/>
    <col min="7686" max="7686" width="1.5703125" style="2" customWidth="1"/>
    <col min="7687" max="7687" width="9.42578125" style="2" bestFit="1" customWidth="1"/>
    <col min="7688" max="7688" width="15" style="2" customWidth="1"/>
    <col min="7689" max="7689" width="32.5703125" style="2" customWidth="1"/>
    <col min="7690" max="7690" width="10" style="2" bestFit="1" customWidth="1"/>
    <col min="7691" max="7691" width="10.140625" style="2" bestFit="1" customWidth="1"/>
    <col min="7692" max="7692" width="9.42578125" style="2" bestFit="1" customWidth="1"/>
    <col min="7693" max="7932" width="9.140625" style="2"/>
    <col min="7933" max="7933" width="20.5703125" style="2" customWidth="1"/>
    <col min="7934" max="7934" width="1.5703125" style="2" customWidth="1"/>
    <col min="7935" max="7935" width="4.5703125" style="2" customWidth="1"/>
    <col min="7936" max="7936" width="11.5703125" style="2" customWidth="1"/>
    <col min="7937" max="7937" width="45.5703125" style="2" customWidth="1"/>
    <col min="7938" max="7938" width="7.5703125" style="2" customWidth="1"/>
    <col min="7939" max="7940" width="12.5703125" style="2" customWidth="1"/>
    <col min="7941" max="7941" width="18.42578125" style="2" bestFit="1" customWidth="1"/>
    <col min="7942" max="7942" width="1.5703125" style="2" customWidth="1"/>
    <col min="7943" max="7943" width="9.42578125" style="2" bestFit="1" customWidth="1"/>
    <col min="7944" max="7944" width="15" style="2" customWidth="1"/>
    <col min="7945" max="7945" width="32.5703125" style="2" customWidth="1"/>
    <col min="7946" max="7946" width="10" style="2" bestFit="1" customWidth="1"/>
    <col min="7947" max="7947" width="10.140625" style="2" bestFit="1" customWidth="1"/>
    <col min="7948" max="7948" width="9.42578125" style="2" bestFit="1" customWidth="1"/>
    <col min="7949" max="8188" width="9.140625" style="2"/>
    <col min="8189" max="8189" width="20.5703125" style="2" customWidth="1"/>
    <col min="8190" max="8190" width="1.5703125" style="2" customWidth="1"/>
    <col min="8191" max="8191" width="4.5703125" style="2" customWidth="1"/>
    <col min="8192" max="8192" width="11.5703125" style="2" customWidth="1"/>
    <col min="8193" max="8193" width="45.5703125" style="2" customWidth="1"/>
    <col min="8194" max="8194" width="7.5703125" style="2" customWidth="1"/>
    <col min="8195" max="8196" width="12.5703125" style="2" customWidth="1"/>
    <col min="8197" max="8197" width="18.42578125" style="2" bestFit="1" customWidth="1"/>
    <col min="8198" max="8198" width="1.5703125" style="2" customWidth="1"/>
    <col min="8199" max="8199" width="9.42578125" style="2" bestFit="1" customWidth="1"/>
    <col min="8200" max="8200" width="15" style="2" customWidth="1"/>
    <col min="8201" max="8201" width="32.5703125" style="2" customWidth="1"/>
    <col min="8202" max="8202" width="10" style="2" bestFit="1" customWidth="1"/>
    <col min="8203" max="8203" width="10.140625" style="2" bestFit="1" customWidth="1"/>
    <col min="8204" max="8204" width="9.42578125" style="2" bestFit="1" customWidth="1"/>
    <col min="8205" max="8444" width="9.140625" style="2"/>
    <col min="8445" max="8445" width="20.5703125" style="2" customWidth="1"/>
    <col min="8446" max="8446" width="1.5703125" style="2" customWidth="1"/>
    <col min="8447" max="8447" width="4.5703125" style="2" customWidth="1"/>
    <col min="8448" max="8448" width="11.5703125" style="2" customWidth="1"/>
    <col min="8449" max="8449" width="45.5703125" style="2" customWidth="1"/>
    <col min="8450" max="8450" width="7.5703125" style="2" customWidth="1"/>
    <col min="8451" max="8452" width="12.5703125" style="2" customWidth="1"/>
    <col min="8453" max="8453" width="18.42578125" style="2" bestFit="1" customWidth="1"/>
    <col min="8454" max="8454" width="1.5703125" style="2" customWidth="1"/>
    <col min="8455" max="8455" width="9.42578125" style="2" bestFit="1" customWidth="1"/>
    <col min="8456" max="8456" width="15" style="2" customWidth="1"/>
    <col min="8457" max="8457" width="32.5703125" style="2" customWidth="1"/>
    <col min="8458" max="8458" width="10" style="2" bestFit="1" customWidth="1"/>
    <col min="8459" max="8459" width="10.140625" style="2" bestFit="1" customWidth="1"/>
    <col min="8460" max="8460" width="9.42578125" style="2" bestFit="1" customWidth="1"/>
    <col min="8461" max="8700" width="9.140625" style="2"/>
    <col min="8701" max="8701" width="20.5703125" style="2" customWidth="1"/>
    <col min="8702" max="8702" width="1.5703125" style="2" customWidth="1"/>
    <col min="8703" max="8703" width="4.5703125" style="2" customWidth="1"/>
    <col min="8704" max="8704" width="11.5703125" style="2" customWidth="1"/>
    <col min="8705" max="8705" width="45.5703125" style="2" customWidth="1"/>
    <col min="8706" max="8706" width="7.5703125" style="2" customWidth="1"/>
    <col min="8707" max="8708" width="12.5703125" style="2" customWidth="1"/>
    <col min="8709" max="8709" width="18.42578125" style="2" bestFit="1" customWidth="1"/>
    <col min="8710" max="8710" width="1.5703125" style="2" customWidth="1"/>
    <col min="8711" max="8711" width="9.42578125" style="2" bestFit="1" customWidth="1"/>
    <col min="8712" max="8712" width="15" style="2" customWidth="1"/>
    <col min="8713" max="8713" width="32.5703125" style="2" customWidth="1"/>
    <col min="8714" max="8714" width="10" style="2" bestFit="1" customWidth="1"/>
    <col min="8715" max="8715" width="10.140625" style="2" bestFit="1" customWidth="1"/>
    <col min="8716" max="8716" width="9.42578125" style="2" bestFit="1" customWidth="1"/>
    <col min="8717" max="8956" width="9.140625" style="2"/>
    <col min="8957" max="8957" width="20.5703125" style="2" customWidth="1"/>
    <col min="8958" max="8958" width="1.5703125" style="2" customWidth="1"/>
    <col min="8959" max="8959" width="4.5703125" style="2" customWidth="1"/>
    <col min="8960" max="8960" width="11.5703125" style="2" customWidth="1"/>
    <col min="8961" max="8961" width="45.5703125" style="2" customWidth="1"/>
    <col min="8962" max="8962" width="7.5703125" style="2" customWidth="1"/>
    <col min="8963" max="8964" width="12.5703125" style="2" customWidth="1"/>
    <col min="8965" max="8965" width="18.42578125" style="2" bestFit="1" customWidth="1"/>
    <col min="8966" max="8966" width="1.5703125" style="2" customWidth="1"/>
    <col min="8967" max="8967" width="9.42578125" style="2" bestFit="1" customWidth="1"/>
    <col min="8968" max="8968" width="15" style="2" customWidth="1"/>
    <col min="8969" max="8969" width="32.5703125" style="2" customWidth="1"/>
    <col min="8970" max="8970" width="10" style="2" bestFit="1" customWidth="1"/>
    <col min="8971" max="8971" width="10.140625" style="2" bestFit="1" customWidth="1"/>
    <col min="8972" max="8972" width="9.42578125" style="2" bestFit="1" customWidth="1"/>
    <col min="8973" max="9212" width="9.140625" style="2"/>
    <col min="9213" max="9213" width="20.5703125" style="2" customWidth="1"/>
    <col min="9214" max="9214" width="1.5703125" style="2" customWidth="1"/>
    <col min="9215" max="9215" width="4.5703125" style="2" customWidth="1"/>
    <col min="9216" max="9216" width="11.5703125" style="2" customWidth="1"/>
    <col min="9217" max="9217" width="45.5703125" style="2" customWidth="1"/>
    <col min="9218" max="9218" width="7.5703125" style="2" customWidth="1"/>
    <col min="9219" max="9220" width="12.5703125" style="2" customWidth="1"/>
    <col min="9221" max="9221" width="18.42578125" style="2" bestFit="1" customWidth="1"/>
    <col min="9222" max="9222" width="1.5703125" style="2" customWidth="1"/>
    <col min="9223" max="9223" width="9.42578125" style="2" bestFit="1" customWidth="1"/>
    <col min="9224" max="9224" width="15" style="2" customWidth="1"/>
    <col min="9225" max="9225" width="32.5703125" style="2" customWidth="1"/>
    <col min="9226" max="9226" width="10" style="2" bestFit="1" customWidth="1"/>
    <col min="9227" max="9227" width="10.140625" style="2" bestFit="1" customWidth="1"/>
    <col min="9228" max="9228" width="9.42578125" style="2" bestFit="1" customWidth="1"/>
    <col min="9229" max="9468" width="9.140625" style="2"/>
    <col min="9469" max="9469" width="20.5703125" style="2" customWidth="1"/>
    <col min="9470" max="9470" width="1.5703125" style="2" customWidth="1"/>
    <col min="9471" max="9471" width="4.5703125" style="2" customWidth="1"/>
    <col min="9472" max="9472" width="11.5703125" style="2" customWidth="1"/>
    <col min="9473" max="9473" width="45.5703125" style="2" customWidth="1"/>
    <col min="9474" max="9474" width="7.5703125" style="2" customWidth="1"/>
    <col min="9475" max="9476" width="12.5703125" style="2" customWidth="1"/>
    <col min="9477" max="9477" width="18.42578125" style="2" bestFit="1" customWidth="1"/>
    <col min="9478" max="9478" width="1.5703125" style="2" customWidth="1"/>
    <col min="9479" max="9479" width="9.42578125" style="2" bestFit="1" customWidth="1"/>
    <col min="9480" max="9480" width="15" style="2" customWidth="1"/>
    <col min="9481" max="9481" width="32.5703125" style="2" customWidth="1"/>
    <col min="9482" max="9482" width="10" style="2" bestFit="1" customWidth="1"/>
    <col min="9483" max="9483" width="10.140625" style="2" bestFit="1" customWidth="1"/>
    <col min="9484" max="9484" width="9.42578125" style="2" bestFit="1" customWidth="1"/>
    <col min="9485" max="9724" width="9.140625" style="2"/>
    <col min="9725" max="9725" width="20.5703125" style="2" customWidth="1"/>
    <col min="9726" max="9726" width="1.5703125" style="2" customWidth="1"/>
    <col min="9727" max="9727" width="4.5703125" style="2" customWidth="1"/>
    <col min="9728" max="9728" width="11.5703125" style="2" customWidth="1"/>
    <col min="9729" max="9729" width="45.5703125" style="2" customWidth="1"/>
    <col min="9730" max="9730" width="7.5703125" style="2" customWidth="1"/>
    <col min="9731" max="9732" width="12.5703125" style="2" customWidth="1"/>
    <col min="9733" max="9733" width="18.42578125" style="2" bestFit="1" customWidth="1"/>
    <col min="9734" max="9734" width="1.5703125" style="2" customWidth="1"/>
    <col min="9735" max="9735" width="9.42578125" style="2" bestFit="1" customWidth="1"/>
    <col min="9736" max="9736" width="15" style="2" customWidth="1"/>
    <col min="9737" max="9737" width="32.5703125" style="2" customWidth="1"/>
    <col min="9738" max="9738" width="10" style="2" bestFit="1" customWidth="1"/>
    <col min="9739" max="9739" width="10.140625" style="2" bestFit="1" customWidth="1"/>
    <col min="9740" max="9740" width="9.42578125" style="2" bestFit="1" customWidth="1"/>
    <col min="9741" max="9980" width="9.140625" style="2"/>
    <col min="9981" max="9981" width="20.5703125" style="2" customWidth="1"/>
    <col min="9982" max="9982" width="1.5703125" style="2" customWidth="1"/>
    <col min="9983" max="9983" width="4.5703125" style="2" customWidth="1"/>
    <col min="9984" max="9984" width="11.5703125" style="2" customWidth="1"/>
    <col min="9985" max="9985" width="45.5703125" style="2" customWidth="1"/>
    <col min="9986" max="9986" width="7.5703125" style="2" customWidth="1"/>
    <col min="9987" max="9988" width="12.5703125" style="2" customWidth="1"/>
    <col min="9989" max="9989" width="18.42578125" style="2" bestFit="1" customWidth="1"/>
    <col min="9990" max="9990" width="1.5703125" style="2" customWidth="1"/>
    <col min="9991" max="9991" width="9.42578125" style="2" bestFit="1" customWidth="1"/>
    <col min="9992" max="9992" width="15" style="2" customWidth="1"/>
    <col min="9993" max="9993" width="32.5703125" style="2" customWidth="1"/>
    <col min="9994" max="9994" width="10" style="2" bestFit="1" customWidth="1"/>
    <col min="9995" max="9995" width="10.140625" style="2" bestFit="1" customWidth="1"/>
    <col min="9996" max="9996" width="9.42578125" style="2" bestFit="1" customWidth="1"/>
    <col min="9997" max="10236" width="9.140625" style="2"/>
    <col min="10237" max="10237" width="20.5703125" style="2" customWidth="1"/>
    <col min="10238" max="10238" width="1.5703125" style="2" customWidth="1"/>
    <col min="10239" max="10239" width="4.5703125" style="2" customWidth="1"/>
    <col min="10240" max="10240" width="11.5703125" style="2" customWidth="1"/>
    <col min="10241" max="10241" width="45.5703125" style="2" customWidth="1"/>
    <col min="10242" max="10242" width="7.5703125" style="2" customWidth="1"/>
    <col min="10243" max="10244" width="12.5703125" style="2" customWidth="1"/>
    <col min="10245" max="10245" width="18.42578125" style="2" bestFit="1" customWidth="1"/>
    <col min="10246" max="10246" width="1.5703125" style="2" customWidth="1"/>
    <col min="10247" max="10247" width="9.42578125" style="2" bestFit="1" customWidth="1"/>
    <col min="10248" max="10248" width="15" style="2" customWidth="1"/>
    <col min="10249" max="10249" width="32.5703125" style="2" customWidth="1"/>
    <col min="10250" max="10250" width="10" style="2" bestFit="1" customWidth="1"/>
    <col min="10251" max="10251" width="10.140625" style="2" bestFit="1" customWidth="1"/>
    <col min="10252" max="10252" width="9.42578125" style="2" bestFit="1" customWidth="1"/>
    <col min="10253" max="10492" width="9.140625" style="2"/>
    <col min="10493" max="10493" width="20.5703125" style="2" customWidth="1"/>
    <col min="10494" max="10494" width="1.5703125" style="2" customWidth="1"/>
    <col min="10495" max="10495" width="4.5703125" style="2" customWidth="1"/>
    <col min="10496" max="10496" width="11.5703125" style="2" customWidth="1"/>
    <col min="10497" max="10497" width="45.5703125" style="2" customWidth="1"/>
    <col min="10498" max="10498" width="7.5703125" style="2" customWidth="1"/>
    <col min="10499" max="10500" width="12.5703125" style="2" customWidth="1"/>
    <col min="10501" max="10501" width="18.42578125" style="2" bestFit="1" customWidth="1"/>
    <col min="10502" max="10502" width="1.5703125" style="2" customWidth="1"/>
    <col min="10503" max="10503" width="9.42578125" style="2" bestFit="1" customWidth="1"/>
    <col min="10504" max="10504" width="15" style="2" customWidth="1"/>
    <col min="10505" max="10505" width="32.5703125" style="2" customWidth="1"/>
    <col min="10506" max="10506" width="10" style="2" bestFit="1" customWidth="1"/>
    <col min="10507" max="10507" width="10.140625" style="2" bestFit="1" customWidth="1"/>
    <col min="10508" max="10508" width="9.42578125" style="2" bestFit="1" customWidth="1"/>
    <col min="10509" max="10748" width="9.140625" style="2"/>
    <col min="10749" max="10749" width="20.5703125" style="2" customWidth="1"/>
    <col min="10750" max="10750" width="1.5703125" style="2" customWidth="1"/>
    <col min="10751" max="10751" width="4.5703125" style="2" customWidth="1"/>
    <col min="10752" max="10752" width="11.5703125" style="2" customWidth="1"/>
    <col min="10753" max="10753" width="45.5703125" style="2" customWidth="1"/>
    <col min="10754" max="10754" width="7.5703125" style="2" customWidth="1"/>
    <col min="10755" max="10756" width="12.5703125" style="2" customWidth="1"/>
    <col min="10757" max="10757" width="18.42578125" style="2" bestFit="1" customWidth="1"/>
    <col min="10758" max="10758" width="1.5703125" style="2" customWidth="1"/>
    <col min="10759" max="10759" width="9.42578125" style="2" bestFit="1" customWidth="1"/>
    <col min="10760" max="10760" width="15" style="2" customWidth="1"/>
    <col min="10761" max="10761" width="32.5703125" style="2" customWidth="1"/>
    <col min="10762" max="10762" width="10" style="2" bestFit="1" customWidth="1"/>
    <col min="10763" max="10763" width="10.140625" style="2" bestFit="1" customWidth="1"/>
    <col min="10764" max="10764" width="9.42578125" style="2" bestFit="1" customWidth="1"/>
    <col min="10765" max="11004" width="9.140625" style="2"/>
    <col min="11005" max="11005" width="20.5703125" style="2" customWidth="1"/>
    <col min="11006" max="11006" width="1.5703125" style="2" customWidth="1"/>
    <col min="11007" max="11007" width="4.5703125" style="2" customWidth="1"/>
    <col min="11008" max="11008" width="11.5703125" style="2" customWidth="1"/>
    <col min="11009" max="11009" width="45.5703125" style="2" customWidth="1"/>
    <col min="11010" max="11010" width="7.5703125" style="2" customWidth="1"/>
    <col min="11011" max="11012" width="12.5703125" style="2" customWidth="1"/>
    <col min="11013" max="11013" width="18.42578125" style="2" bestFit="1" customWidth="1"/>
    <col min="11014" max="11014" width="1.5703125" style="2" customWidth="1"/>
    <col min="11015" max="11015" width="9.42578125" style="2" bestFit="1" customWidth="1"/>
    <col min="11016" max="11016" width="15" style="2" customWidth="1"/>
    <col min="11017" max="11017" width="32.5703125" style="2" customWidth="1"/>
    <col min="11018" max="11018" width="10" style="2" bestFit="1" customWidth="1"/>
    <col min="11019" max="11019" width="10.140625" style="2" bestFit="1" customWidth="1"/>
    <col min="11020" max="11020" width="9.42578125" style="2" bestFit="1" customWidth="1"/>
    <col min="11021" max="11260" width="9.140625" style="2"/>
    <col min="11261" max="11261" width="20.5703125" style="2" customWidth="1"/>
    <col min="11262" max="11262" width="1.5703125" style="2" customWidth="1"/>
    <col min="11263" max="11263" width="4.5703125" style="2" customWidth="1"/>
    <col min="11264" max="11264" width="11.5703125" style="2" customWidth="1"/>
    <col min="11265" max="11265" width="45.5703125" style="2" customWidth="1"/>
    <col min="11266" max="11266" width="7.5703125" style="2" customWidth="1"/>
    <col min="11267" max="11268" width="12.5703125" style="2" customWidth="1"/>
    <col min="11269" max="11269" width="18.42578125" style="2" bestFit="1" customWidth="1"/>
    <col min="11270" max="11270" width="1.5703125" style="2" customWidth="1"/>
    <col min="11271" max="11271" width="9.42578125" style="2" bestFit="1" customWidth="1"/>
    <col min="11272" max="11272" width="15" style="2" customWidth="1"/>
    <col min="11273" max="11273" width="32.5703125" style="2" customWidth="1"/>
    <col min="11274" max="11274" width="10" style="2" bestFit="1" customWidth="1"/>
    <col min="11275" max="11275" width="10.140625" style="2" bestFit="1" customWidth="1"/>
    <col min="11276" max="11276" width="9.42578125" style="2" bestFit="1" customWidth="1"/>
    <col min="11277" max="11516" width="9.140625" style="2"/>
    <col min="11517" max="11517" width="20.5703125" style="2" customWidth="1"/>
    <col min="11518" max="11518" width="1.5703125" style="2" customWidth="1"/>
    <col min="11519" max="11519" width="4.5703125" style="2" customWidth="1"/>
    <col min="11520" max="11520" width="11.5703125" style="2" customWidth="1"/>
    <col min="11521" max="11521" width="45.5703125" style="2" customWidth="1"/>
    <col min="11522" max="11522" width="7.5703125" style="2" customWidth="1"/>
    <col min="11523" max="11524" width="12.5703125" style="2" customWidth="1"/>
    <col min="11525" max="11525" width="18.42578125" style="2" bestFit="1" customWidth="1"/>
    <col min="11526" max="11526" width="1.5703125" style="2" customWidth="1"/>
    <col min="11527" max="11527" width="9.42578125" style="2" bestFit="1" customWidth="1"/>
    <col min="11528" max="11528" width="15" style="2" customWidth="1"/>
    <col min="11529" max="11529" width="32.5703125" style="2" customWidth="1"/>
    <col min="11530" max="11530" width="10" style="2" bestFit="1" customWidth="1"/>
    <col min="11531" max="11531" width="10.140625" style="2" bestFit="1" customWidth="1"/>
    <col min="11532" max="11532" width="9.42578125" style="2" bestFit="1" customWidth="1"/>
    <col min="11533" max="11772" width="9.140625" style="2"/>
    <col min="11773" max="11773" width="20.5703125" style="2" customWidth="1"/>
    <col min="11774" max="11774" width="1.5703125" style="2" customWidth="1"/>
    <col min="11775" max="11775" width="4.5703125" style="2" customWidth="1"/>
    <col min="11776" max="11776" width="11.5703125" style="2" customWidth="1"/>
    <col min="11777" max="11777" width="45.5703125" style="2" customWidth="1"/>
    <col min="11778" max="11778" width="7.5703125" style="2" customWidth="1"/>
    <col min="11779" max="11780" width="12.5703125" style="2" customWidth="1"/>
    <col min="11781" max="11781" width="18.42578125" style="2" bestFit="1" customWidth="1"/>
    <col min="11782" max="11782" width="1.5703125" style="2" customWidth="1"/>
    <col min="11783" max="11783" width="9.42578125" style="2" bestFit="1" customWidth="1"/>
    <col min="11784" max="11784" width="15" style="2" customWidth="1"/>
    <col min="11785" max="11785" width="32.5703125" style="2" customWidth="1"/>
    <col min="11786" max="11786" width="10" style="2" bestFit="1" customWidth="1"/>
    <col min="11787" max="11787" width="10.140625" style="2" bestFit="1" customWidth="1"/>
    <col min="11788" max="11788" width="9.42578125" style="2" bestFit="1" customWidth="1"/>
    <col min="11789" max="12028" width="9.140625" style="2"/>
    <col min="12029" max="12029" width="20.5703125" style="2" customWidth="1"/>
    <col min="12030" max="12030" width="1.5703125" style="2" customWidth="1"/>
    <col min="12031" max="12031" width="4.5703125" style="2" customWidth="1"/>
    <col min="12032" max="12032" width="11.5703125" style="2" customWidth="1"/>
    <col min="12033" max="12033" width="45.5703125" style="2" customWidth="1"/>
    <col min="12034" max="12034" width="7.5703125" style="2" customWidth="1"/>
    <col min="12035" max="12036" width="12.5703125" style="2" customWidth="1"/>
    <col min="12037" max="12037" width="18.42578125" style="2" bestFit="1" customWidth="1"/>
    <col min="12038" max="12038" width="1.5703125" style="2" customWidth="1"/>
    <col min="12039" max="12039" width="9.42578125" style="2" bestFit="1" customWidth="1"/>
    <col min="12040" max="12040" width="15" style="2" customWidth="1"/>
    <col min="12041" max="12041" width="32.5703125" style="2" customWidth="1"/>
    <col min="12042" max="12042" width="10" style="2" bestFit="1" customWidth="1"/>
    <col min="12043" max="12043" width="10.140625" style="2" bestFit="1" customWidth="1"/>
    <col min="12044" max="12044" width="9.42578125" style="2" bestFit="1" customWidth="1"/>
    <col min="12045" max="12284" width="9.140625" style="2"/>
    <col min="12285" max="12285" width="20.5703125" style="2" customWidth="1"/>
    <col min="12286" max="12286" width="1.5703125" style="2" customWidth="1"/>
    <col min="12287" max="12287" width="4.5703125" style="2" customWidth="1"/>
    <col min="12288" max="12288" width="11.5703125" style="2" customWidth="1"/>
    <col min="12289" max="12289" width="45.5703125" style="2" customWidth="1"/>
    <col min="12290" max="12290" width="7.5703125" style="2" customWidth="1"/>
    <col min="12291" max="12292" width="12.5703125" style="2" customWidth="1"/>
    <col min="12293" max="12293" width="18.42578125" style="2" bestFit="1" customWidth="1"/>
    <col min="12294" max="12294" width="1.5703125" style="2" customWidth="1"/>
    <col min="12295" max="12295" width="9.42578125" style="2" bestFit="1" customWidth="1"/>
    <col min="12296" max="12296" width="15" style="2" customWidth="1"/>
    <col min="12297" max="12297" width="32.5703125" style="2" customWidth="1"/>
    <col min="12298" max="12298" width="10" style="2" bestFit="1" customWidth="1"/>
    <col min="12299" max="12299" width="10.140625" style="2" bestFit="1" customWidth="1"/>
    <col min="12300" max="12300" width="9.42578125" style="2" bestFit="1" customWidth="1"/>
    <col min="12301" max="12540" width="9.140625" style="2"/>
    <col min="12541" max="12541" width="20.5703125" style="2" customWidth="1"/>
    <col min="12542" max="12542" width="1.5703125" style="2" customWidth="1"/>
    <col min="12543" max="12543" width="4.5703125" style="2" customWidth="1"/>
    <col min="12544" max="12544" width="11.5703125" style="2" customWidth="1"/>
    <col min="12545" max="12545" width="45.5703125" style="2" customWidth="1"/>
    <col min="12546" max="12546" width="7.5703125" style="2" customWidth="1"/>
    <col min="12547" max="12548" width="12.5703125" style="2" customWidth="1"/>
    <col min="12549" max="12549" width="18.42578125" style="2" bestFit="1" customWidth="1"/>
    <col min="12550" max="12550" width="1.5703125" style="2" customWidth="1"/>
    <col min="12551" max="12551" width="9.42578125" style="2" bestFit="1" customWidth="1"/>
    <col min="12552" max="12552" width="15" style="2" customWidth="1"/>
    <col min="12553" max="12553" width="32.5703125" style="2" customWidth="1"/>
    <col min="12554" max="12554" width="10" style="2" bestFit="1" customWidth="1"/>
    <col min="12555" max="12555" width="10.140625" style="2" bestFit="1" customWidth="1"/>
    <col min="12556" max="12556" width="9.42578125" style="2" bestFit="1" customWidth="1"/>
    <col min="12557" max="12796" width="9.140625" style="2"/>
    <col min="12797" max="12797" width="20.5703125" style="2" customWidth="1"/>
    <col min="12798" max="12798" width="1.5703125" style="2" customWidth="1"/>
    <col min="12799" max="12799" width="4.5703125" style="2" customWidth="1"/>
    <col min="12800" max="12800" width="11.5703125" style="2" customWidth="1"/>
    <col min="12801" max="12801" width="45.5703125" style="2" customWidth="1"/>
    <col min="12802" max="12802" width="7.5703125" style="2" customWidth="1"/>
    <col min="12803" max="12804" width="12.5703125" style="2" customWidth="1"/>
    <col min="12805" max="12805" width="18.42578125" style="2" bestFit="1" customWidth="1"/>
    <col min="12806" max="12806" width="1.5703125" style="2" customWidth="1"/>
    <col min="12807" max="12807" width="9.42578125" style="2" bestFit="1" customWidth="1"/>
    <col min="12808" max="12808" width="15" style="2" customWidth="1"/>
    <col min="12809" max="12809" width="32.5703125" style="2" customWidth="1"/>
    <col min="12810" max="12810" width="10" style="2" bestFit="1" customWidth="1"/>
    <col min="12811" max="12811" width="10.140625" style="2" bestFit="1" customWidth="1"/>
    <col min="12812" max="12812" width="9.42578125" style="2" bestFit="1" customWidth="1"/>
    <col min="12813" max="13052" width="9.140625" style="2"/>
    <col min="13053" max="13053" width="20.5703125" style="2" customWidth="1"/>
    <col min="13054" max="13054" width="1.5703125" style="2" customWidth="1"/>
    <col min="13055" max="13055" width="4.5703125" style="2" customWidth="1"/>
    <col min="13056" max="13056" width="11.5703125" style="2" customWidth="1"/>
    <col min="13057" max="13057" width="45.5703125" style="2" customWidth="1"/>
    <col min="13058" max="13058" width="7.5703125" style="2" customWidth="1"/>
    <col min="13059" max="13060" width="12.5703125" style="2" customWidth="1"/>
    <col min="13061" max="13061" width="18.42578125" style="2" bestFit="1" customWidth="1"/>
    <col min="13062" max="13062" width="1.5703125" style="2" customWidth="1"/>
    <col min="13063" max="13063" width="9.42578125" style="2" bestFit="1" customWidth="1"/>
    <col min="13064" max="13064" width="15" style="2" customWidth="1"/>
    <col min="13065" max="13065" width="32.5703125" style="2" customWidth="1"/>
    <col min="13066" max="13066" width="10" style="2" bestFit="1" customWidth="1"/>
    <col min="13067" max="13067" width="10.140625" style="2" bestFit="1" customWidth="1"/>
    <col min="13068" max="13068" width="9.42578125" style="2" bestFit="1" customWidth="1"/>
    <col min="13069" max="13308" width="9.140625" style="2"/>
    <col min="13309" max="13309" width="20.5703125" style="2" customWidth="1"/>
    <col min="13310" max="13310" width="1.5703125" style="2" customWidth="1"/>
    <col min="13311" max="13311" width="4.5703125" style="2" customWidth="1"/>
    <col min="13312" max="13312" width="11.5703125" style="2" customWidth="1"/>
    <col min="13313" max="13313" width="45.5703125" style="2" customWidth="1"/>
    <col min="13314" max="13314" width="7.5703125" style="2" customWidth="1"/>
    <col min="13315" max="13316" width="12.5703125" style="2" customWidth="1"/>
    <col min="13317" max="13317" width="18.42578125" style="2" bestFit="1" customWidth="1"/>
    <col min="13318" max="13318" width="1.5703125" style="2" customWidth="1"/>
    <col min="13319" max="13319" width="9.42578125" style="2" bestFit="1" customWidth="1"/>
    <col min="13320" max="13320" width="15" style="2" customWidth="1"/>
    <col min="13321" max="13321" width="32.5703125" style="2" customWidth="1"/>
    <col min="13322" max="13322" width="10" style="2" bestFit="1" customWidth="1"/>
    <col min="13323" max="13323" width="10.140625" style="2" bestFit="1" customWidth="1"/>
    <col min="13324" max="13324" width="9.42578125" style="2" bestFit="1" customWidth="1"/>
    <col min="13325" max="13564" width="9.140625" style="2"/>
    <col min="13565" max="13565" width="20.5703125" style="2" customWidth="1"/>
    <col min="13566" max="13566" width="1.5703125" style="2" customWidth="1"/>
    <col min="13567" max="13567" width="4.5703125" style="2" customWidth="1"/>
    <col min="13568" max="13568" width="11.5703125" style="2" customWidth="1"/>
    <col min="13569" max="13569" width="45.5703125" style="2" customWidth="1"/>
    <col min="13570" max="13570" width="7.5703125" style="2" customWidth="1"/>
    <col min="13571" max="13572" width="12.5703125" style="2" customWidth="1"/>
    <col min="13573" max="13573" width="18.42578125" style="2" bestFit="1" customWidth="1"/>
    <col min="13574" max="13574" width="1.5703125" style="2" customWidth="1"/>
    <col min="13575" max="13575" width="9.42578125" style="2" bestFit="1" customWidth="1"/>
    <col min="13576" max="13576" width="15" style="2" customWidth="1"/>
    <col min="13577" max="13577" width="32.5703125" style="2" customWidth="1"/>
    <col min="13578" max="13578" width="10" style="2" bestFit="1" customWidth="1"/>
    <col min="13579" max="13579" width="10.140625" style="2" bestFit="1" customWidth="1"/>
    <col min="13580" max="13580" width="9.42578125" style="2" bestFit="1" customWidth="1"/>
    <col min="13581" max="13820" width="9.140625" style="2"/>
    <col min="13821" max="13821" width="20.5703125" style="2" customWidth="1"/>
    <col min="13822" max="13822" width="1.5703125" style="2" customWidth="1"/>
    <col min="13823" max="13823" width="4.5703125" style="2" customWidth="1"/>
    <col min="13824" max="13824" width="11.5703125" style="2" customWidth="1"/>
    <col min="13825" max="13825" width="45.5703125" style="2" customWidth="1"/>
    <col min="13826" max="13826" width="7.5703125" style="2" customWidth="1"/>
    <col min="13827" max="13828" width="12.5703125" style="2" customWidth="1"/>
    <col min="13829" max="13829" width="18.42578125" style="2" bestFit="1" customWidth="1"/>
    <col min="13830" max="13830" width="1.5703125" style="2" customWidth="1"/>
    <col min="13831" max="13831" width="9.42578125" style="2" bestFit="1" customWidth="1"/>
    <col min="13832" max="13832" width="15" style="2" customWidth="1"/>
    <col min="13833" max="13833" width="32.5703125" style="2" customWidth="1"/>
    <col min="13834" max="13834" width="10" style="2" bestFit="1" customWidth="1"/>
    <col min="13835" max="13835" width="10.140625" style="2" bestFit="1" customWidth="1"/>
    <col min="13836" max="13836" width="9.42578125" style="2" bestFit="1" customWidth="1"/>
    <col min="13837" max="14076" width="9.140625" style="2"/>
    <col min="14077" max="14077" width="20.5703125" style="2" customWidth="1"/>
    <col min="14078" max="14078" width="1.5703125" style="2" customWidth="1"/>
    <col min="14079" max="14079" width="4.5703125" style="2" customWidth="1"/>
    <col min="14080" max="14080" width="11.5703125" style="2" customWidth="1"/>
    <col min="14081" max="14081" width="45.5703125" style="2" customWidth="1"/>
    <col min="14082" max="14082" width="7.5703125" style="2" customWidth="1"/>
    <col min="14083" max="14084" width="12.5703125" style="2" customWidth="1"/>
    <col min="14085" max="14085" width="18.42578125" style="2" bestFit="1" customWidth="1"/>
    <col min="14086" max="14086" width="1.5703125" style="2" customWidth="1"/>
    <col min="14087" max="14087" width="9.42578125" style="2" bestFit="1" customWidth="1"/>
    <col min="14088" max="14088" width="15" style="2" customWidth="1"/>
    <col min="14089" max="14089" width="32.5703125" style="2" customWidth="1"/>
    <col min="14090" max="14090" width="10" style="2" bestFit="1" customWidth="1"/>
    <col min="14091" max="14091" width="10.140625" style="2" bestFit="1" customWidth="1"/>
    <col min="14092" max="14092" width="9.42578125" style="2" bestFit="1" customWidth="1"/>
    <col min="14093" max="14332" width="9.140625" style="2"/>
    <col min="14333" max="14333" width="20.5703125" style="2" customWidth="1"/>
    <col min="14334" max="14334" width="1.5703125" style="2" customWidth="1"/>
    <col min="14335" max="14335" width="4.5703125" style="2" customWidth="1"/>
    <col min="14336" max="14336" width="11.5703125" style="2" customWidth="1"/>
    <col min="14337" max="14337" width="45.5703125" style="2" customWidth="1"/>
    <col min="14338" max="14338" width="7.5703125" style="2" customWidth="1"/>
    <col min="14339" max="14340" width="12.5703125" style="2" customWidth="1"/>
    <col min="14341" max="14341" width="18.42578125" style="2" bestFit="1" customWidth="1"/>
    <col min="14342" max="14342" width="1.5703125" style="2" customWidth="1"/>
    <col min="14343" max="14343" width="9.42578125" style="2" bestFit="1" customWidth="1"/>
    <col min="14344" max="14344" width="15" style="2" customWidth="1"/>
    <col min="14345" max="14345" width="32.5703125" style="2" customWidth="1"/>
    <col min="14346" max="14346" width="10" style="2" bestFit="1" customWidth="1"/>
    <col min="14347" max="14347" width="10.140625" style="2" bestFit="1" customWidth="1"/>
    <col min="14348" max="14348" width="9.42578125" style="2" bestFit="1" customWidth="1"/>
    <col min="14349" max="14588" width="9.140625" style="2"/>
    <col min="14589" max="14589" width="20.5703125" style="2" customWidth="1"/>
    <col min="14590" max="14590" width="1.5703125" style="2" customWidth="1"/>
    <col min="14591" max="14591" width="4.5703125" style="2" customWidth="1"/>
    <col min="14592" max="14592" width="11.5703125" style="2" customWidth="1"/>
    <col min="14593" max="14593" width="45.5703125" style="2" customWidth="1"/>
    <col min="14594" max="14594" width="7.5703125" style="2" customWidth="1"/>
    <col min="14595" max="14596" width="12.5703125" style="2" customWidth="1"/>
    <col min="14597" max="14597" width="18.42578125" style="2" bestFit="1" customWidth="1"/>
    <col min="14598" max="14598" width="1.5703125" style="2" customWidth="1"/>
    <col min="14599" max="14599" width="9.42578125" style="2" bestFit="1" customWidth="1"/>
    <col min="14600" max="14600" width="15" style="2" customWidth="1"/>
    <col min="14601" max="14601" width="32.5703125" style="2" customWidth="1"/>
    <col min="14602" max="14602" width="10" style="2" bestFit="1" customWidth="1"/>
    <col min="14603" max="14603" width="10.140625" style="2" bestFit="1" customWidth="1"/>
    <col min="14604" max="14604" width="9.42578125" style="2" bestFit="1" customWidth="1"/>
    <col min="14605" max="14844" width="9.140625" style="2"/>
    <col min="14845" max="14845" width="20.5703125" style="2" customWidth="1"/>
    <col min="14846" max="14846" width="1.5703125" style="2" customWidth="1"/>
    <col min="14847" max="14847" width="4.5703125" style="2" customWidth="1"/>
    <col min="14848" max="14848" width="11.5703125" style="2" customWidth="1"/>
    <col min="14849" max="14849" width="45.5703125" style="2" customWidth="1"/>
    <col min="14850" max="14850" width="7.5703125" style="2" customWidth="1"/>
    <col min="14851" max="14852" width="12.5703125" style="2" customWidth="1"/>
    <col min="14853" max="14853" width="18.42578125" style="2" bestFit="1" customWidth="1"/>
    <col min="14854" max="14854" width="1.5703125" style="2" customWidth="1"/>
    <col min="14855" max="14855" width="9.42578125" style="2" bestFit="1" customWidth="1"/>
    <col min="14856" max="14856" width="15" style="2" customWidth="1"/>
    <col min="14857" max="14857" width="32.5703125" style="2" customWidth="1"/>
    <col min="14858" max="14858" width="10" style="2" bestFit="1" customWidth="1"/>
    <col min="14859" max="14859" width="10.140625" style="2" bestFit="1" customWidth="1"/>
    <col min="14860" max="14860" width="9.42578125" style="2" bestFit="1" customWidth="1"/>
    <col min="14861" max="15100" width="9.140625" style="2"/>
    <col min="15101" max="15101" width="20.5703125" style="2" customWidth="1"/>
    <col min="15102" max="15102" width="1.5703125" style="2" customWidth="1"/>
    <col min="15103" max="15103" width="4.5703125" style="2" customWidth="1"/>
    <col min="15104" max="15104" width="11.5703125" style="2" customWidth="1"/>
    <col min="15105" max="15105" width="45.5703125" style="2" customWidth="1"/>
    <col min="15106" max="15106" width="7.5703125" style="2" customWidth="1"/>
    <col min="15107" max="15108" width="12.5703125" style="2" customWidth="1"/>
    <col min="15109" max="15109" width="18.42578125" style="2" bestFit="1" customWidth="1"/>
    <col min="15110" max="15110" width="1.5703125" style="2" customWidth="1"/>
    <col min="15111" max="15111" width="9.42578125" style="2" bestFit="1" customWidth="1"/>
    <col min="15112" max="15112" width="15" style="2" customWidth="1"/>
    <col min="15113" max="15113" width="32.5703125" style="2" customWidth="1"/>
    <col min="15114" max="15114" width="10" style="2" bestFit="1" customWidth="1"/>
    <col min="15115" max="15115" width="10.140625" style="2" bestFit="1" customWidth="1"/>
    <col min="15116" max="15116" width="9.42578125" style="2" bestFit="1" customWidth="1"/>
    <col min="15117" max="15356" width="9.140625" style="2"/>
    <col min="15357" max="15357" width="20.5703125" style="2" customWidth="1"/>
    <col min="15358" max="15358" width="1.5703125" style="2" customWidth="1"/>
    <col min="15359" max="15359" width="4.5703125" style="2" customWidth="1"/>
    <col min="15360" max="15360" width="11.5703125" style="2" customWidth="1"/>
    <col min="15361" max="15361" width="45.5703125" style="2" customWidth="1"/>
    <col min="15362" max="15362" width="7.5703125" style="2" customWidth="1"/>
    <col min="15363" max="15364" width="12.5703125" style="2" customWidth="1"/>
    <col min="15365" max="15365" width="18.42578125" style="2" bestFit="1" customWidth="1"/>
    <col min="15366" max="15366" width="1.5703125" style="2" customWidth="1"/>
    <col min="15367" max="15367" width="9.42578125" style="2" bestFit="1" customWidth="1"/>
    <col min="15368" max="15368" width="15" style="2" customWidth="1"/>
    <col min="15369" max="15369" width="32.5703125" style="2" customWidth="1"/>
    <col min="15370" max="15370" width="10" style="2" bestFit="1" customWidth="1"/>
    <col min="15371" max="15371" width="10.140625" style="2" bestFit="1" customWidth="1"/>
    <col min="15372" max="15372" width="9.42578125" style="2" bestFit="1" customWidth="1"/>
    <col min="15373" max="15612" width="9.140625" style="2"/>
    <col min="15613" max="15613" width="20.5703125" style="2" customWidth="1"/>
    <col min="15614" max="15614" width="1.5703125" style="2" customWidth="1"/>
    <col min="15615" max="15615" width="4.5703125" style="2" customWidth="1"/>
    <col min="15616" max="15616" width="11.5703125" style="2" customWidth="1"/>
    <col min="15617" max="15617" width="45.5703125" style="2" customWidth="1"/>
    <col min="15618" max="15618" width="7.5703125" style="2" customWidth="1"/>
    <col min="15619" max="15620" width="12.5703125" style="2" customWidth="1"/>
    <col min="15621" max="15621" width="18.42578125" style="2" bestFit="1" customWidth="1"/>
    <col min="15622" max="15622" width="1.5703125" style="2" customWidth="1"/>
    <col min="15623" max="15623" width="9.42578125" style="2" bestFit="1" customWidth="1"/>
    <col min="15624" max="15624" width="15" style="2" customWidth="1"/>
    <col min="15625" max="15625" width="32.5703125" style="2" customWidth="1"/>
    <col min="15626" max="15626" width="10" style="2" bestFit="1" customWidth="1"/>
    <col min="15627" max="15627" width="10.140625" style="2" bestFit="1" customWidth="1"/>
    <col min="15628" max="15628" width="9.42578125" style="2" bestFit="1" customWidth="1"/>
    <col min="15629" max="15868" width="9.140625" style="2"/>
    <col min="15869" max="15869" width="20.5703125" style="2" customWidth="1"/>
    <col min="15870" max="15870" width="1.5703125" style="2" customWidth="1"/>
    <col min="15871" max="15871" width="4.5703125" style="2" customWidth="1"/>
    <col min="15872" max="15872" width="11.5703125" style="2" customWidth="1"/>
    <col min="15873" max="15873" width="45.5703125" style="2" customWidth="1"/>
    <col min="15874" max="15874" width="7.5703125" style="2" customWidth="1"/>
    <col min="15875" max="15876" width="12.5703125" style="2" customWidth="1"/>
    <col min="15877" max="15877" width="18.42578125" style="2" bestFit="1" customWidth="1"/>
    <col min="15878" max="15878" width="1.5703125" style="2" customWidth="1"/>
    <col min="15879" max="15879" width="9.42578125" style="2" bestFit="1" customWidth="1"/>
    <col min="15880" max="15880" width="15" style="2" customWidth="1"/>
    <col min="15881" max="15881" width="32.5703125" style="2" customWidth="1"/>
    <col min="15882" max="15882" width="10" style="2" bestFit="1" customWidth="1"/>
    <col min="15883" max="15883" width="10.140625" style="2" bestFit="1" customWidth="1"/>
    <col min="15884" max="15884" width="9.42578125" style="2" bestFit="1" customWidth="1"/>
    <col min="15885" max="16124" width="9.140625" style="2"/>
    <col min="16125" max="16125" width="20.5703125" style="2" customWidth="1"/>
    <col min="16126" max="16126" width="1.5703125" style="2" customWidth="1"/>
    <col min="16127" max="16127" width="4.5703125" style="2" customWidth="1"/>
    <col min="16128" max="16128" width="11.5703125" style="2" customWidth="1"/>
    <col min="16129" max="16129" width="45.5703125" style="2" customWidth="1"/>
    <col min="16130" max="16130" width="7.5703125" style="2" customWidth="1"/>
    <col min="16131" max="16132" width="12.5703125" style="2" customWidth="1"/>
    <col min="16133" max="16133" width="18.42578125" style="2" bestFit="1" customWidth="1"/>
    <col min="16134" max="16134" width="1.5703125" style="2" customWidth="1"/>
    <col min="16135" max="16135" width="9.42578125" style="2" bestFit="1" customWidth="1"/>
    <col min="16136" max="16136" width="15" style="2" customWidth="1"/>
    <col min="16137" max="16137" width="32.5703125" style="2" customWidth="1"/>
    <col min="16138" max="16138" width="10" style="2" bestFit="1" customWidth="1"/>
    <col min="16139" max="16139" width="10.140625" style="2" bestFit="1" customWidth="1"/>
    <col min="16140" max="16140" width="9.42578125" style="2" bestFit="1" customWidth="1"/>
    <col min="16141" max="16384" width="9.140625" style="2"/>
  </cols>
  <sheetData>
    <row r="1" spans="3:13" ht="15" customHeight="1" x14ac:dyDescent="0.25">
      <c r="C1" s="281" t="s">
        <v>342</v>
      </c>
      <c r="D1" s="281"/>
      <c r="E1" s="281"/>
      <c r="F1" s="281"/>
      <c r="G1" s="281"/>
      <c r="H1" s="281"/>
      <c r="I1" s="281"/>
      <c r="J1" s="1"/>
    </row>
    <row r="2" spans="3:13" ht="48.75" customHeight="1" x14ac:dyDescent="0.25">
      <c r="C2" s="281" t="s">
        <v>0</v>
      </c>
      <c r="D2" s="281"/>
      <c r="E2" s="281"/>
      <c r="F2" s="281"/>
      <c r="G2" s="281"/>
      <c r="H2" s="281"/>
      <c r="I2" s="281"/>
      <c r="J2" s="1"/>
    </row>
    <row r="3" spans="3:13" ht="15" customHeight="1" x14ac:dyDescent="0.25">
      <c r="C3" s="3" t="s">
        <v>1</v>
      </c>
      <c r="D3" s="282" t="s">
        <v>2</v>
      </c>
      <c r="E3" s="282"/>
      <c r="F3" s="4"/>
      <c r="G3" s="5"/>
      <c r="H3" s="5"/>
      <c r="I3" s="6"/>
      <c r="J3" s="1"/>
    </row>
    <row r="4" spans="3:13" ht="15" customHeight="1" thickBot="1" x14ac:dyDescent="0.3">
      <c r="C4" s="3" t="s">
        <v>1</v>
      </c>
      <c r="D4" s="282" t="s">
        <v>3</v>
      </c>
      <c r="E4" s="282"/>
      <c r="F4" s="7"/>
      <c r="G4" s="8"/>
      <c r="H4" s="8"/>
      <c r="I4" s="8"/>
      <c r="J4" s="1"/>
    </row>
    <row r="5" spans="3:13" s="10" customFormat="1" ht="15" customHeight="1" thickTop="1" x14ac:dyDescent="0.25">
      <c r="C5" s="283" t="s">
        <v>4</v>
      </c>
      <c r="D5" s="285" t="s">
        <v>5</v>
      </c>
      <c r="E5" s="287" t="s">
        <v>6</v>
      </c>
      <c r="F5" s="289" t="s">
        <v>7</v>
      </c>
      <c r="G5" s="290"/>
      <c r="H5" s="291" t="s">
        <v>8</v>
      </c>
      <c r="I5" s="276" t="s">
        <v>9</v>
      </c>
      <c r="J5" s="9"/>
    </row>
    <row r="6" spans="3:13" s="10" customFormat="1" ht="27" customHeight="1" x14ac:dyDescent="0.25">
      <c r="C6" s="284"/>
      <c r="D6" s="286"/>
      <c r="E6" s="288"/>
      <c r="F6" s="11" t="s">
        <v>10</v>
      </c>
      <c r="G6" s="12" t="s">
        <v>11</v>
      </c>
      <c r="H6" s="292"/>
      <c r="I6" s="277"/>
      <c r="J6" s="9"/>
      <c r="M6" s="13"/>
    </row>
    <row r="7" spans="3:13" s="18" customFormat="1" ht="15" customHeight="1" thickBot="1" x14ac:dyDescent="0.3">
      <c r="C7" s="14">
        <v>1</v>
      </c>
      <c r="D7" s="15" t="s">
        <v>12</v>
      </c>
      <c r="E7" s="16">
        <v>3</v>
      </c>
      <c r="F7" s="16">
        <v>4</v>
      </c>
      <c r="G7" s="16">
        <v>5</v>
      </c>
      <c r="H7" s="16">
        <v>6</v>
      </c>
      <c r="I7" s="240">
        <v>7</v>
      </c>
      <c r="J7" s="17"/>
    </row>
    <row r="8" spans="3:13" s="18" customFormat="1" ht="20.45" customHeight="1" thickBot="1" x14ac:dyDescent="0.3">
      <c r="C8" s="257" t="s">
        <v>13</v>
      </c>
      <c r="D8" s="258"/>
      <c r="E8" s="258"/>
      <c r="F8" s="258"/>
      <c r="G8" s="258"/>
      <c r="H8" s="258"/>
      <c r="I8" s="259"/>
      <c r="J8" s="17"/>
    </row>
    <row r="9" spans="3:13" s="18" customFormat="1" ht="21" customHeight="1" thickTop="1" thickBot="1" x14ac:dyDescent="0.3">
      <c r="C9" s="19">
        <v>1</v>
      </c>
      <c r="D9" s="20" t="s">
        <v>14</v>
      </c>
      <c r="E9" s="21" t="s">
        <v>15</v>
      </c>
      <c r="F9" s="22"/>
      <c r="G9" s="23"/>
      <c r="H9" s="24"/>
      <c r="I9" s="25">
        <f>SUM(I10:I17)</f>
        <v>0</v>
      </c>
      <c r="J9" s="17"/>
    </row>
    <row r="10" spans="3:13" s="18" customFormat="1" ht="51" x14ac:dyDescent="0.25">
      <c r="C10" s="26" t="s">
        <v>16</v>
      </c>
      <c r="D10" s="27"/>
      <c r="E10" s="28" t="s">
        <v>17</v>
      </c>
      <c r="F10" s="29" t="s">
        <v>18</v>
      </c>
      <c r="G10" s="30">
        <v>1</v>
      </c>
      <c r="H10" s="30"/>
      <c r="I10" s="31"/>
      <c r="J10" s="17"/>
    </row>
    <row r="11" spans="3:13" s="18" customFormat="1" ht="24" x14ac:dyDescent="0.25">
      <c r="C11" s="32"/>
      <c r="D11" s="27"/>
      <c r="E11" s="33" t="s">
        <v>19</v>
      </c>
      <c r="F11" s="34"/>
      <c r="G11" s="35"/>
      <c r="H11" s="35"/>
      <c r="I11" s="36"/>
      <c r="J11" s="17"/>
    </row>
    <row r="12" spans="3:13" s="18" customFormat="1" ht="24" x14ac:dyDescent="0.25">
      <c r="C12" s="32"/>
      <c r="D12" s="27"/>
      <c r="E12" s="37" t="s">
        <v>20</v>
      </c>
      <c r="F12" s="38"/>
      <c r="G12" s="39"/>
      <c r="H12" s="39"/>
      <c r="I12" s="40"/>
      <c r="J12" s="17"/>
    </row>
    <row r="13" spans="3:13" s="18" customFormat="1" x14ac:dyDescent="0.25">
      <c r="C13" s="32"/>
      <c r="D13" s="27"/>
      <c r="E13" s="37" t="s">
        <v>21</v>
      </c>
      <c r="F13" s="38"/>
      <c r="G13" s="39"/>
      <c r="H13" s="39"/>
      <c r="I13" s="40"/>
      <c r="J13" s="17"/>
    </row>
    <row r="14" spans="3:13" s="18" customFormat="1" ht="24" x14ac:dyDescent="0.25">
      <c r="C14" s="32"/>
      <c r="D14" s="27"/>
      <c r="E14" s="37" t="s">
        <v>22</v>
      </c>
      <c r="F14" s="38"/>
      <c r="G14" s="39"/>
      <c r="H14" s="39"/>
      <c r="I14" s="40"/>
      <c r="J14" s="17"/>
    </row>
    <row r="15" spans="3:13" s="18" customFormat="1" ht="36" x14ac:dyDescent="0.25">
      <c r="C15" s="32"/>
      <c r="D15" s="27"/>
      <c r="E15" s="37" t="s">
        <v>23</v>
      </c>
      <c r="F15" s="38"/>
      <c r="G15" s="39"/>
      <c r="H15" s="39"/>
      <c r="I15" s="40"/>
      <c r="J15" s="17"/>
    </row>
    <row r="16" spans="3:13" s="18" customFormat="1" ht="36" x14ac:dyDescent="0.25">
      <c r="C16" s="32"/>
      <c r="D16" s="27"/>
      <c r="E16" s="37" t="s">
        <v>24</v>
      </c>
      <c r="F16" s="38"/>
      <c r="G16" s="39"/>
      <c r="H16" s="39"/>
      <c r="I16" s="40"/>
      <c r="J16" s="17"/>
    </row>
    <row r="17" spans="3:13" s="18" customFormat="1" x14ac:dyDescent="0.25">
      <c r="C17" s="32"/>
      <c r="D17" s="27"/>
      <c r="E17" s="41" t="s">
        <v>25</v>
      </c>
      <c r="F17" s="38"/>
      <c r="G17" s="39"/>
      <c r="H17" s="39"/>
      <c r="I17" s="40"/>
      <c r="J17" s="17"/>
      <c r="L17" s="42"/>
    </row>
    <row r="18" spans="3:13" s="18" customFormat="1" ht="24" x14ac:dyDescent="0.25">
      <c r="C18" s="32"/>
      <c r="D18" s="27"/>
      <c r="E18" s="43" t="s">
        <v>26</v>
      </c>
      <c r="F18" s="38"/>
      <c r="G18" s="39"/>
      <c r="H18" s="39"/>
      <c r="I18" s="40"/>
      <c r="J18" s="17"/>
      <c r="L18" s="42"/>
    </row>
    <row r="19" spans="3:13" s="18" customFormat="1" ht="13.5" thickBot="1" x14ac:dyDescent="0.3">
      <c r="C19" s="44"/>
      <c r="D19" s="27"/>
      <c r="E19" s="45" t="s">
        <v>27</v>
      </c>
      <c r="F19" s="46"/>
      <c r="G19" s="39"/>
      <c r="H19" s="39"/>
      <c r="I19" s="40"/>
      <c r="J19" s="17"/>
      <c r="L19" s="42"/>
    </row>
    <row r="20" spans="3:13" ht="13.5" thickBot="1" x14ac:dyDescent="0.3">
      <c r="C20" s="47">
        <v>2</v>
      </c>
      <c r="D20" s="48" t="s">
        <v>28</v>
      </c>
      <c r="E20" s="49" t="s">
        <v>29</v>
      </c>
      <c r="F20" s="50"/>
      <c r="G20" s="51"/>
      <c r="H20" s="52"/>
      <c r="I20" s="53">
        <f>SUM(I21:I36)</f>
        <v>0</v>
      </c>
      <c r="J20" s="1"/>
      <c r="K20" s="54"/>
      <c r="M20" s="18"/>
    </row>
    <row r="21" spans="3:13" x14ac:dyDescent="0.25">
      <c r="C21" s="55"/>
      <c r="D21" s="56" t="s">
        <v>30</v>
      </c>
      <c r="E21" s="57" t="s">
        <v>31</v>
      </c>
      <c r="F21" s="58"/>
      <c r="G21" s="59">
        <v>0</v>
      </c>
      <c r="H21" s="60"/>
      <c r="I21" s="61">
        <v>0</v>
      </c>
      <c r="J21" s="1"/>
      <c r="M21" s="18"/>
    </row>
    <row r="22" spans="3:13" ht="191.1" customHeight="1" x14ac:dyDescent="0.25">
      <c r="C22" s="32">
        <v>2</v>
      </c>
      <c r="D22" s="62"/>
      <c r="E22" s="63" t="s">
        <v>32</v>
      </c>
      <c r="F22" s="64" t="s">
        <v>33</v>
      </c>
      <c r="G22" s="65">
        <v>0.17599999999999999</v>
      </c>
      <c r="H22" s="59"/>
      <c r="I22" s="66"/>
      <c r="J22" s="1"/>
      <c r="L22" s="54"/>
      <c r="M22" s="18"/>
    </row>
    <row r="23" spans="3:13" x14ac:dyDescent="0.25">
      <c r="C23" s="67"/>
      <c r="D23" s="68" t="s">
        <v>34</v>
      </c>
      <c r="E23" s="69" t="s">
        <v>35</v>
      </c>
      <c r="F23" s="70"/>
      <c r="G23" s="59">
        <v>0</v>
      </c>
      <c r="H23" s="71"/>
      <c r="I23" s="72"/>
      <c r="J23" s="1"/>
      <c r="L23" s="54"/>
      <c r="M23" s="18"/>
    </row>
    <row r="24" spans="3:13" x14ac:dyDescent="0.25">
      <c r="C24" s="32">
        <f>MAX($C$7:C23)+1</f>
        <v>3</v>
      </c>
      <c r="D24" s="73"/>
      <c r="E24" s="74" t="s">
        <v>36</v>
      </c>
      <c r="F24" s="75" t="s">
        <v>37</v>
      </c>
      <c r="G24" s="59">
        <v>8</v>
      </c>
      <c r="H24" s="59"/>
      <c r="I24" s="72"/>
      <c r="J24" s="1"/>
      <c r="L24" s="54"/>
      <c r="M24" s="18"/>
    </row>
    <row r="25" spans="3:13" x14ac:dyDescent="0.25">
      <c r="C25" s="32">
        <f>MAX($C$7:C24)+1</f>
        <v>4</v>
      </c>
      <c r="D25" s="76"/>
      <c r="E25" s="74" t="s">
        <v>38</v>
      </c>
      <c r="F25" s="77" t="s">
        <v>39</v>
      </c>
      <c r="G25" s="59">
        <v>0.01</v>
      </c>
      <c r="H25" s="59"/>
      <c r="I25" s="66"/>
      <c r="J25" s="1"/>
      <c r="L25" s="54"/>
      <c r="M25" s="18"/>
    </row>
    <row r="26" spans="3:13" x14ac:dyDescent="0.25">
      <c r="C26" s="67"/>
      <c r="D26" s="68" t="s">
        <v>40</v>
      </c>
      <c r="E26" s="78" t="s">
        <v>41</v>
      </c>
      <c r="F26" s="79"/>
      <c r="G26" s="59">
        <v>0</v>
      </c>
      <c r="H26" s="71"/>
      <c r="I26" s="72"/>
      <c r="J26" s="1"/>
      <c r="L26" s="54"/>
      <c r="M26" s="18"/>
    </row>
    <row r="27" spans="3:13" ht="14.25" x14ac:dyDescent="0.25">
      <c r="C27" s="32">
        <f>MAX($C$7:C26)+1</f>
        <v>5</v>
      </c>
      <c r="D27" s="80"/>
      <c r="E27" s="81" t="s">
        <v>42</v>
      </c>
      <c r="F27" s="82" t="s">
        <v>43</v>
      </c>
      <c r="G27" s="59">
        <v>2722</v>
      </c>
      <c r="H27" s="59"/>
      <c r="I27" s="66"/>
      <c r="J27" s="1"/>
      <c r="L27" s="54"/>
      <c r="M27" s="18"/>
    </row>
    <row r="28" spans="3:13" x14ac:dyDescent="0.25">
      <c r="C28" s="67"/>
      <c r="D28" s="83"/>
      <c r="E28" s="84" t="s">
        <v>44</v>
      </c>
      <c r="F28" s="85"/>
      <c r="G28" s="59">
        <v>0</v>
      </c>
      <c r="H28" s="71"/>
      <c r="I28" s="72"/>
      <c r="J28" s="1"/>
      <c r="M28" s="18"/>
    </row>
    <row r="29" spans="3:13" ht="38.25" x14ac:dyDescent="0.25">
      <c r="C29" s="32">
        <f>MAX($C$7:C28)+1</f>
        <v>6</v>
      </c>
      <c r="D29" s="83" t="s">
        <v>45</v>
      </c>
      <c r="E29" s="86" t="s">
        <v>46</v>
      </c>
      <c r="F29" s="82" t="s">
        <v>43</v>
      </c>
      <c r="G29" s="59">
        <f>207.1+862.7</f>
        <v>1069.8</v>
      </c>
      <c r="H29" s="59"/>
      <c r="I29" s="72"/>
      <c r="J29" s="1"/>
      <c r="L29" s="54"/>
      <c r="M29" s="18"/>
    </row>
    <row r="30" spans="3:13" ht="51" x14ac:dyDescent="0.25">
      <c r="C30" s="32">
        <f>MAX($C$7:C29)+1</f>
        <v>7</v>
      </c>
      <c r="D30" s="83" t="s">
        <v>45</v>
      </c>
      <c r="E30" s="86" t="s">
        <v>47</v>
      </c>
      <c r="F30" s="82" t="s">
        <v>48</v>
      </c>
      <c r="G30" s="59">
        <v>258</v>
      </c>
      <c r="H30" s="59"/>
      <c r="I30" s="72"/>
      <c r="J30" s="1"/>
      <c r="L30" s="54"/>
      <c r="M30" s="18"/>
    </row>
    <row r="31" spans="3:13" ht="25.5" x14ac:dyDescent="0.25">
      <c r="C31" s="32">
        <f>MAX($C$7:C30)+1</f>
        <v>8</v>
      </c>
      <c r="D31" s="83" t="s">
        <v>49</v>
      </c>
      <c r="E31" s="86" t="s">
        <v>50</v>
      </c>
      <c r="F31" s="82" t="s">
        <v>43</v>
      </c>
      <c r="G31" s="59">
        <f>207.1+862.7</f>
        <v>1069.8</v>
      </c>
      <c r="H31" s="59"/>
      <c r="I31" s="66"/>
      <c r="J31" s="1"/>
      <c r="L31" s="54"/>
      <c r="M31" s="18"/>
    </row>
    <row r="32" spans="3:13" ht="25.5" x14ac:dyDescent="0.25">
      <c r="C32" s="32">
        <f>MAX($C$7:C31)+1</f>
        <v>9</v>
      </c>
      <c r="D32" s="83" t="s">
        <v>49</v>
      </c>
      <c r="E32" s="87" t="s">
        <v>51</v>
      </c>
      <c r="F32" s="88" t="s">
        <v>52</v>
      </c>
      <c r="G32" s="59">
        <f>24*2+20+30</f>
        <v>98</v>
      </c>
      <c r="H32" s="59"/>
      <c r="I32" s="89"/>
      <c r="J32" s="1"/>
      <c r="L32" s="54"/>
      <c r="M32" s="18"/>
    </row>
    <row r="33" spans="3:14" ht="25.5" x14ac:dyDescent="0.25">
      <c r="C33" s="32">
        <f>MAX($C$7:C32)+1</f>
        <v>10</v>
      </c>
      <c r="D33" s="83" t="s">
        <v>49</v>
      </c>
      <c r="E33" s="87" t="s">
        <v>53</v>
      </c>
      <c r="F33" s="88" t="s">
        <v>52</v>
      </c>
      <c r="G33" s="59">
        <v>13.7</v>
      </c>
      <c r="H33" s="59"/>
      <c r="I33" s="72"/>
      <c r="J33" s="1"/>
      <c r="L33" s="54"/>
      <c r="M33" s="18"/>
    </row>
    <row r="34" spans="3:14" ht="25.5" x14ac:dyDescent="0.25">
      <c r="C34" s="32">
        <f>MAX($C$7:C33)+1</f>
        <v>11</v>
      </c>
      <c r="D34" s="83" t="s">
        <v>49</v>
      </c>
      <c r="E34" s="87" t="s">
        <v>54</v>
      </c>
      <c r="F34" s="88" t="s">
        <v>52</v>
      </c>
      <c r="G34" s="59">
        <v>14.5</v>
      </c>
      <c r="H34" s="59"/>
      <c r="I34" s="66"/>
      <c r="J34" s="1"/>
      <c r="L34" s="54"/>
      <c r="M34" s="18"/>
    </row>
    <row r="35" spans="3:14" ht="25.5" x14ac:dyDescent="0.25">
      <c r="C35" s="32">
        <f>MAX($C$7:C34)+1</f>
        <v>12</v>
      </c>
      <c r="D35" s="83" t="s">
        <v>49</v>
      </c>
      <c r="E35" s="87" t="s">
        <v>55</v>
      </c>
      <c r="F35" s="77" t="s">
        <v>56</v>
      </c>
      <c r="G35" s="59">
        <f>0.5*1.5*1.5</f>
        <v>1.125</v>
      </c>
      <c r="H35" s="59"/>
      <c r="I35" s="72"/>
      <c r="J35" s="1"/>
      <c r="L35" s="54"/>
      <c r="M35" s="18"/>
    </row>
    <row r="36" spans="3:14" ht="93.6" customHeight="1" thickBot="1" x14ac:dyDescent="0.3">
      <c r="C36" s="32">
        <f>MAX($C$7:C35)+1</f>
        <v>13</v>
      </c>
      <c r="D36" s="83" t="s">
        <v>49</v>
      </c>
      <c r="E36" s="87" t="s">
        <v>57</v>
      </c>
      <c r="F36" s="88" t="s">
        <v>52</v>
      </c>
      <c r="G36" s="59">
        <v>205</v>
      </c>
      <c r="H36" s="90"/>
      <c r="I36" s="66"/>
      <c r="J36" s="1"/>
      <c r="L36" s="54"/>
      <c r="M36" s="18"/>
    </row>
    <row r="37" spans="3:14" ht="14.45" customHeight="1" thickBot="1" x14ac:dyDescent="0.3">
      <c r="C37" s="91">
        <v>3</v>
      </c>
      <c r="D37" s="92" t="s">
        <v>58</v>
      </c>
      <c r="E37" s="270" t="s">
        <v>59</v>
      </c>
      <c r="F37" s="271"/>
      <c r="G37" s="271"/>
      <c r="H37" s="272"/>
      <c r="I37" s="53">
        <f>SUM(I38:I43)</f>
        <v>0</v>
      </c>
      <c r="J37" s="1"/>
      <c r="K37" s="54"/>
      <c r="L37" s="54"/>
      <c r="M37" s="18"/>
    </row>
    <row r="38" spans="3:14" x14ac:dyDescent="0.25">
      <c r="C38" s="67"/>
      <c r="D38" s="93" t="s">
        <v>60</v>
      </c>
      <c r="E38" s="94" t="s">
        <v>61</v>
      </c>
      <c r="F38" s="58"/>
      <c r="G38" s="95">
        <v>0</v>
      </c>
      <c r="H38" s="60"/>
      <c r="I38" s="61">
        <v>0</v>
      </c>
      <c r="J38" s="1"/>
      <c r="L38" s="54"/>
      <c r="M38" s="18"/>
    </row>
    <row r="39" spans="3:14" ht="63.75" x14ac:dyDescent="0.25">
      <c r="C39" s="32">
        <f>MAX($C$7:C38)+1</f>
        <v>14</v>
      </c>
      <c r="D39" s="96"/>
      <c r="E39" s="97" t="s">
        <v>62</v>
      </c>
      <c r="F39" s="98" t="s">
        <v>56</v>
      </c>
      <c r="G39" s="59">
        <v>2445</v>
      </c>
      <c r="H39" s="59"/>
      <c r="I39" s="72"/>
      <c r="J39" s="1"/>
      <c r="L39" s="54"/>
      <c r="M39" s="18"/>
      <c r="N39" s="2">
        <v>4</v>
      </c>
    </row>
    <row r="40" spans="3:14" ht="51" x14ac:dyDescent="0.25">
      <c r="C40" s="32">
        <f>MAX($C$7:C39)+1</f>
        <v>15</v>
      </c>
      <c r="D40" s="99"/>
      <c r="E40" s="97" t="s">
        <v>63</v>
      </c>
      <c r="F40" s="98" t="s">
        <v>56</v>
      </c>
      <c r="G40" s="59">
        <f>1.2*4750</f>
        <v>5700</v>
      </c>
      <c r="H40" s="59"/>
      <c r="I40" s="66"/>
      <c r="J40" s="1"/>
      <c r="L40" s="54"/>
      <c r="M40" s="18"/>
    </row>
    <row r="41" spans="3:14" ht="14.45" customHeight="1" x14ac:dyDescent="0.25">
      <c r="C41" s="67"/>
      <c r="D41" s="100" t="s">
        <v>64</v>
      </c>
      <c r="E41" s="101" t="s">
        <v>65</v>
      </c>
      <c r="F41" s="102"/>
      <c r="G41" s="59">
        <v>0</v>
      </c>
      <c r="H41" s="71"/>
      <c r="I41" s="72"/>
      <c r="J41" s="1"/>
      <c r="L41" s="54"/>
      <c r="M41" s="18"/>
      <c r="N41" s="2">
        <v>5</v>
      </c>
    </row>
    <row r="42" spans="3:14" ht="71.099999999999994" customHeight="1" x14ac:dyDescent="0.25">
      <c r="C42" s="32">
        <f>MAX($C$7:C41)+1</f>
        <v>16</v>
      </c>
      <c r="D42" s="103"/>
      <c r="E42" s="87" t="s">
        <v>66</v>
      </c>
      <c r="F42" s="82" t="s">
        <v>56</v>
      </c>
      <c r="G42" s="59">
        <v>1372</v>
      </c>
      <c r="H42" s="59"/>
      <c r="I42" s="66"/>
      <c r="J42" s="1"/>
      <c r="L42" s="54"/>
      <c r="M42" s="18"/>
    </row>
    <row r="43" spans="3:14" ht="77.25" thickBot="1" x14ac:dyDescent="0.3">
      <c r="C43" s="32">
        <f>MAX($C$7:C42)+1</f>
        <v>17</v>
      </c>
      <c r="D43" s="104"/>
      <c r="E43" s="87" t="s">
        <v>67</v>
      </c>
      <c r="F43" s="82" t="s">
        <v>56</v>
      </c>
      <c r="G43" s="59">
        <f>1.2*4750</f>
        <v>5700</v>
      </c>
      <c r="H43" s="59"/>
      <c r="I43" s="105"/>
      <c r="J43" s="1"/>
      <c r="L43" s="54"/>
      <c r="M43" s="18"/>
      <c r="N43" s="2">
        <v>7</v>
      </c>
    </row>
    <row r="44" spans="3:14" ht="13.5" thickBot="1" x14ac:dyDescent="0.3">
      <c r="C44" s="91">
        <v>4</v>
      </c>
      <c r="D44" s="92" t="s">
        <v>68</v>
      </c>
      <c r="E44" s="278" t="s">
        <v>69</v>
      </c>
      <c r="F44" s="279"/>
      <c r="G44" s="279"/>
      <c r="H44" s="280"/>
      <c r="I44" s="53">
        <f>SUM(I45:I52)</f>
        <v>0</v>
      </c>
      <c r="J44" s="1"/>
      <c r="L44" s="54"/>
      <c r="M44" s="18"/>
    </row>
    <row r="45" spans="3:14" x14ac:dyDescent="0.25">
      <c r="C45" s="106"/>
      <c r="D45" s="100" t="s">
        <v>70</v>
      </c>
      <c r="E45" s="101" t="s">
        <v>71</v>
      </c>
      <c r="F45" s="102"/>
      <c r="G45" s="59">
        <v>0</v>
      </c>
      <c r="H45" s="71"/>
      <c r="I45" s="72">
        <v>0</v>
      </c>
      <c r="J45" s="1"/>
      <c r="L45" s="54"/>
      <c r="M45" s="18"/>
    </row>
    <row r="46" spans="3:14" ht="25.5" x14ac:dyDescent="0.25">
      <c r="C46" s="32">
        <f>MAX($C$7:C45)+1</f>
        <v>18</v>
      </c>
      <c r="D46" s="107"/>
      <c r="E46" s="97" t="s">
        <v>72</v>
      </c>
      <c r="F46" s="98" t="s">
        <v>52</v>
      </c>
      <c r="G46" s="59">
        <v>18.5</v>
      </c>
      <c r="H46" s="59"/>
      <c r="I46" s="72"/>
      <c r="J46" s="1"/>
      <c r="L46" s="54"/>
      <c r="M46" s="18"/>
    </row>
    <row r="47" spans="3:14" ht="25.5" x14ac:dyDescent="0.25">
      <c r="C47" s="32">
        <f>MAX($C$7:C46)+1</f>
        <v>19</v>
      </c>
      <c r="D47" s="107"/>
      <c r="E47" s="97" t="s">
        <v>73</v>
      </c>
      <c r="F47" s="98" t="s">
        <v>52</v>
      </c>
      <c r="G47" s="59">
        <v>12</v>
      </c>
      <c r="H47" s="59"/>
      <c r="I47" s="66"/>
      <c r="J47" s="1"/>
      <c r="L47" s="54"/>
      <c r="M47" s="18"/>
    </row>
    <row r="48" spans="3:14" x14ac:dyDescent="0.25">
      <c r="C48" s="32">
        <f>MAX($C$7:C47)+1</f>
        <v>20</v>
      </c>
      <c r="D48" s="107"/>
      <c r="E48" s="97" t="s">
        <v>74</v>
      </c>
      <c r="F48" s="98" t="s">
        <v>75</v>
      </c>
      <c r="G48" s="59">
        <v>43</v>
      </c>
      <c r="H48" s="59"/>
      <c r="I48" s="72"/>
      <c r="J48" s="1"/>
      <c r="L48" s="54"/>
      <c r="M48" s="18"/>
    </row>
    <row r="49" spans="3:13" x14ac:dyDescent="0.25">
      <c r="C49" s="32"/>
      <c r="D49" s="83" t="s">
        <v>76</v>
      </c>
      <c r="E49" s="108" t="s">
        <v>77</v>
      </c>
      <c r="F49" s="109"/>
      <c r="G49" s="110"/>
      <c r="H49" s="71"/>
      <c r="I49" s="72"/>
      <c r="J49" s="1"/>
      <c r="L49" s="54"/>
      <c r="M49" s="18"/>
    </row>
    <row r="50" spans="3:13" ht="25.5" x14ac:dyDescent="0.25">
      <c r="C50" s="32">
        <f>MAX($C$7:C49)+1</f>
        <v>21</v>
      </c>
      <c r="D50" s="111"/>
      <c r="E50" s="112" t="s">
        <v>78</v>
      </c>
      <c r="F50" s="109" t="s">
        <v>52</v>
      </c>
      <c r="G50" s="113">
        <f>6.1+7.1</f>
        <v>13.2</v>
      </c>
      <c r="H50" s="59"/>
      <c r="I50" s="72"/>
      <c r="J50" s="1"/>
      <c r="L50" s="54"/>
      <c r="M50" s="18"/>
    </row>
    <row r="51" spans="3:13" ht="25.5" x14ac:dyDescent="0.25">
      <c r="C51" s="32">
        <f>MAX($C$7:C50)+1</f>
        <v>22</v>
      </c>
      <c r="D51" s="111"/>
      <c r="E51" s="112" t="s">
        <v>79</v>
      </c>
      <c r="F51" s="109" t="s">
        <v>37</v>
      </c>
      <c r="G51" s="110">
        <v>2</v>
      </c>
      <c r="H51" s="59"/>
      <c r="I51" s="72"/>
      <c r="J51" s="1"/>
      <c r="L51" s="54"/>
      <c r="M51" s="18"/>
    </row>
    <row r="52" spans="3:13" ht="13.5" thickBot="1" x14ac:dyDescent="0.3">
      <c r="C52" s="32">
        <f>MAX($C$7:C51)+1</f>
        <v>23</v>
      </c>
      <c r="D52" s="111"/>
      <c r="E52" s="112" t="s">
        <v>80</v>
      </c>
      <c r="F52" s="109" t="s">
        <v>37</v>
      </c>
      <c r="G52" s="110">
        <v>2</v>
      </c>
      <c r="H52" s="59"/>
      <c r="I52" s="72"/>
      <c r="J52" s="1"/>
      <c r="L52" s="54"/>
      <c r="M52" s="18"/>
    </row>
    <row r="53" spans="3:13" ht="14.1" customHeight="1" thickBot="1" x14ac:dyDescent="0.3">
      <c r="C53" s="114">
        <v>5</v>
      </c>
      <c r="D53" s="92" t="s">
        <v>81</v>
      </c>
      <c r="E53" s="264" t="s">
        <v>82</v>
      </c>
      <c r="F53" s="253"/>
      <c r="G53" s="253"/>
      <c r="H53" s="254"/>
      <c r="I53" s="53">
        <f>SUM(I54:I67)</f>
        <v>0</v>
      </c>
      <c r="J53" s="1"/>
      <c r="K53" s="54"/>
      <c r="L53" s="54"/>
      <c r="M53" s="18"/>
    </row>
    <row r="54" spans="3:13" ht="25.5" x14ac:dyDescent="0.25">
      <c r="C54" s="115"/>
      <c r="D54" s="116" t="s">
        <v>83</v>
      </c>
      <c r="E54" s="117" t="s">
        <v>84</v>
      </c>
      <c r="F54" s="118"/>
      <c r="G54" s="95">
        <v>0</v>
      </c>
      <c r="H54" s="60"/>
      <c r="I54" s="61"/>
      <c r="J54" s="1"/>
      <c r="L54" s="54"/>
      <c r="M54" s="18"/>
    </row>
    <row r="55" spans="3:13" ht="25.5" x14ac:dyDescent="0.25">
      <c r="C55" s="32">
        <f>MAX($C$7:C54)+1</f>
        <v>24</v>
      </c>
      <c r="D55" s="107"/>
      <c r="E55" s="119" t="s">
        <v>85</v>
      </c>
      <c r="F55" s="120" t="s">
        <v>43</v>
      </c>
      <c r="G55" s="121">
        <v>2665.5</v>
      </c>
      <c r="H55" s="59"/>
      <c r="I55" s="89"/>
      <c r="J55" s="1"/>
      <c r="K55" s="122"/>
      <c r="L55" s="54"/>
      <c r="M55" s="18"/>
    </row>
    <row r="56" spans="3:13" ht="25.5" x14ac:dyDescent="0.25">
      <c r="C56" s="32">
        <f>MAX($C$7:C55)+1</f>
        <v>25</v>
      </c>
      <c r="D56" s="107"/>
      <c r="E56" s="119" t="s">
        <v>86</v>
      </c>
      <c r="F56" s="120" t="s">
        <v>43</v>
      </c>
      <c r="G56" s="59">
        <v>94.2</v>
      </c>
      <c r="H56" s="59"/>
      <c r="I56" s="89"/>
      <c r="J56" s="1"/>
      <c r="L56" s="54"/>
      <c r="M56" s="18"/>
    </row>
    <row r="57" spans="3:13" ht="25.5" x14ac:dyDescent="0.25">
      <c r="C57" s="32">
        <f>MAX($C$7:C56)+1</f>
        <v>26</v>
      </c>
      <c r="D57" s="107"/>
      <c r="E57" s="119" t="s">
        <v>87</v>
      </c>
      <c r="F57" s="120" t="s">
        <v>43</v>
      </c>
      <c r="G57" s="59">
        <f>116+68</f>
        <v>184</v>
      </c>
      <c r="H57" s="59"/>
      <c r="I57" s="89"/>
      <c r="J57" s="1"/>
      <c r="L57" s="54"/>
      <c r="M57" s="18"/>
    </row>
    <row r="58" spans="3:13" x14ac:dyDescent="0.25">
      <c r="C58" s="32"/>
      <c r="D58" s="116" t="s">
        <v>88</v>
      </c>
      <c r="E58" s="123" t="s">
        <v>89</v>
      </c>
      <c r="F58" s="118"/>
      <c r="G58" s="59">
        <v>0</v>
      </c>
      <c r="H58" s="71"/>
      <c r="I58" s="72"/>
      <c r="J58" s="1"/>
      <c r="L58" s="54"/>
      <c r="M58" s="18"/>
    </row>
    <row r="59" spans="3:13" ht="51" x14ac:dyDescent="0.25">
      <c r="C59" s="32">
        <f>MAX($C$7:C58)+1</f>
        <v>27</v>
      </c>
      <c r="D59" s="124"/>
      <c r="E59" s="119" t="s">
        <v>90</v>
      </c>
      <c r="F59" s="125" t="s">
        <v>43</v>
      </c>
      <c r="G59" s="121">
        <v>2468</v>
      </c>
      <c r="H59" s="59"/>
      <c r="I59" s="89"/>
      <c r="J59" s="1"/>
      <c r="L59" s="54"/>
      <c r="M59" s="18"/>
    </row>
    <row r="60" spans="3:13" ht="38.25" x14ac:dyDescent="0.25">
      <c r="C60" s="32">
        <f>MAX($C$7:C59)+1</f>
        <v>28</v>
      </c>
      <c r="D60" s="124"/>
      <c r="E60" s="126" t="s">
        <v>91</v>
      </c>
      <c r="F60" s="125" t="s">
        <v>43</v>
      </c>
      <c r="G60" s="121">
        <v>2271</v>
      </c>
      <c r="H60" s="59"/>
      <c r="I60" s="89"/>
      <c r="J60" s="1"/>
      <c r="L60" s="54"/>
      <c r="M60" s="18"/>
    </row>
    <row r="61" spans="3:13" ht="38.25" x14ac:dyDescent="0.25">
      <c r="C61" s="32">
        <f>MAX($C$7:C60)+1</f>
        <v>29</v>
      </c>
      <c r="D61" s="124"/>
      <c r="E61" s="119" t="s">
        <v>92</v>
      </c>
      <c r="F61" s="125" t="s">
        <v>43</v>
      </c>
      <c r="G61" s="59">
        <f>116+68</f>
        <v>184</v>
      </c>
      <c r="H61" s="59"/>
      <c r="I61" s="89"/>
      <c r="J61" s="1"/>
      <c r="L61" s="54"/>
      <c r="M61" s="18"/>
    </row>
    <row r="62" spans="3:13" ht="25.5" x14ac:dyDescent="0.25">
      <c r="C62" s="115"/>
      <c r="D62" s="116" t="s">
        <v>93</v>
      </c>
      <c r="E62" s="123" t="s">
        <v>94</v>
      </c>
      <c r="F62" s="59">
        <v>0</v>
      </c>
      <c r="G62" s="59">
        <v>0</v>
      </c>
      <c r="H62" s="71"/>
      <c r="I62" s="72"/>
      <c r="J62" s="1"/>
      <c r="L62" s="54"/>
      <c r="M62" s="18"/>
    </row>
    <row r="63" spans="3:13" ht="38.25" x14ac:dyDescent="0.25">
      <c r="C63" s="32">
        <f>MAX($C$7:C62)+1</f>
        <v>30</v>
      </c>
      <c r="D63" s="127"/>
      <c r="E63" s="119" t="s">
        <v>95</v>
      </c>
      <c r="F63" s="120" t="s">
        <v>43</v>
      </c>
      <c r="G63" s="121">
        <f>1234*1.6</f>
        <v>1974.4</v>
      </c>
      <c r="H63" s="59"/>
      <c r="I63" s="89"/>
      <c r="J63" s="1"/>
      <c r="L63" s="54"/>
      <c r="M63" s="18"/>
    </row>
    <row r="64" spans="3:13" ht="38.25" x14ac:dyDescent="0.25">
      <c r="C64" s="32">
        <f>MAX($C$7:C63)+1</f>
        <v>31</v>
      </c>
      <c r="D64" s="128"/>
      <c r="E64" s="119" t="s">
        <v>96</v>
      </c>
      <c r="F64" s="120" t="s">
        <v>43</v>
      </c>
      <c r="G64" s="59">
        <v>94.2</v>
      </c>
      <c r="H64" s="59"/>
      <c r="I64" s="89"/>
      <c r="J64" s="1"/>
      <c r="L64" s="54"/>
      <c r="M64" s="18"/>
    </row>
    <row r="65" spans="3:13" ht="51" x14ac:dyDescent="0.25">
      <c r="C65" s="32">
        <f>MAX($C$7:C64)+1</f>
        <v>32</v>
      </c>
      <c r="D65" s="128"/>
      <c r="E65" s="119" t="s">
        <v>97</v>
      </c>
      <c r="F65" s="120" t="s">
        <v>43</v>
      </c>
      <c r="G65" s="59">
        <f>116+68</f>
        <v>184</v>
      </c>
      <c r="H65" s="59"/>
      <c r="I65" s="89"/>
      <c r="J65" s="1"/>
      <c r="L65" s="54"/>
      <c r="M65" s="18"/>
    </row>
    <row r="66" spans="3:13" x14ac:dyDescent="0.25">
      <c r="C66" s="115"/>
      <c r="D66" s="116" t="s">
        <v>98</v>
      </c>
      <c r="E66" s="123" t="s">
        <v>99</v>
      </c>
      <c r="F66" s="118"/>
      <c r="G66" s="59">
        <v>0</v>
      </c>
      <c r="H66" s="71"/>
      <c r="I66" s="72"/>
      <c r="J66" s="1"/>
      <c r="L66" s="54"/>
      <c r="M66" s="18"/>
    </row>
    <row r="67" spans="3:13" ht="51.75" thickBot="1" x14ac:dyDescent="0.3">
      <c r="C67" s="32">
        <f>MAX($C$7:C66)+1</f>
        <v>33</v>
      </c>
      <c r="D67" s="124"/>
      <c r="E67" s="129" t="s">
        <v>100</v>
      </c>
      <c r="F67" s="120" t="s">
        <v>43</v>
      </c>
      <c r="G67" s="121">
        <v>1259</v>
      </c>
      <c r="H67" s="130"/>
      <c r="I67" s="89"/>
      <c r="J67" s="1"/>
      <c r="L67" s="54"/>
      <c r="M67" s="18"/>
    </row>
    <row r="68" spans="3:13" ht="15" customHeight="1" thickBot="1" x14ac:dyDescent="0.3">
      <c r="C68" s="131">
        <v>6</v>
      </c>
      <c r="D68" s="92" t="s">
        <v>101</v>
      </c>
      <c r="E68" s="264" t="s">
        <v>102</v>
      </c>
      <c r="F68" s="253"/>
      <c r="G68" s="253"/>
      <c r="H68" s="254"/>
      <c r="I68" s="53">
        <f>SUM(I70:I78)</f>
        <v>0</v>
      </c>
      <c r="J68" s="1"/>
      <c r="K68" s="54"/>
      <c r="L68" s="54"/>
      <c r="M68" s="18"/>
    </row>
    <row r="69" spans="3:13" ht="15" customHeight="1" x14ac:dyDescent="0.25">
      <c r="C69" s="132"/>
      <c r="D69" s="116" t="s">
        <v>103</v>
      </c>
      <c r="E69" s="117" t="s">
        <v>104</v>
      </c>
      <c r="F69" s="118"/>
      <c r="G69" s="95">
        <v>0</v>
      </c>
      <c r="H69" s="60"/>
      <c r="I69" s="61">
        <v>0</v>
      </c>
      <c r="J69" s="1"/>
      <c r="K69" s="54"/>
      <c r="L69" s="54"/>
      <c r="M69" s="18"/>
    </row>
    <row r="70" spans="3:13" ht="25.5" x14ac:dyDescent="0.25">
      <c r="C70" s="32">
        <f>MAX($C$7:C69)+1</f>
        <v>34</v>
      </c>
      <c r="D70" s="133"/>
      <c r="E70" s="134" t="s">
        <v>105</v>
      </c>
      <c r="F70" s="82" t="s">
        <v>43</v>
      </c>
      <c r="G70" s="59">
        <f>116+68</f>
        <v>184</v>
      </c>
      <c r="H70" s="59"/>
      <c r="I70" s="72"/>
      <c r="J70" s="1"/>
      <c r="K70" s="54"/>
      <c r="L70" s="54"/>
      <c r="M70" s="18"/>
    </row>
    <row r="71" spans="3:13" ht="38.25" x14ac:dyDescent="0.25">
      <c r="C71" s="32">
        <f>MAX($C$7:C70)+1</f>
        <v>35</v>
      </c>
      <c r="D71" s="135"/>
      <c r="E71" s="134" t="s">
        <v>106</v>
      </c>
      <c r="F71" s="82" t="s">
        <v>43</v>
      </c>
      <c r="G71" s="59">
        <v>94.2</v>
      </c>
      <c r="H71" s="95"/>
      <c r="I71" s="72"/>
      <c r="J71" s="1"/>
      <c r="K71" s="54"/>
      <c r="L71" s="54"/>
      <c r="M71" s="18"/>
    </row>
    <row r="72" spans="3:13" ht="13.35" customHeight="1" x14ac:dyDescent="0.25">
      <c r="C72" s="115"/>
      <c r="D72" s="116" t="s">
        <v>107</v>
      </c>
      <c r="E72" s="136" t="s">
        <v>108</v>
      </c>
      <c r="F72" s="118"/>
      <c r="G72" s="95">
        <v>0</v>
      </c>
      <c r="H72" s="60"/>
      <c r="I72" s="61"/>
      <c r="J72" s="1"/>
      <c r="L72" s="54"/>
      <c r="M72" s="18"/>
    </row>
    <row r="73" spans="3:13" ht="51" x14ac:dyDescent="0.25">
      <c r="C73" s="32">
        <f>MAX($C$7:C72)+1</f>
        <v>36</v>
      </c>
      <c r="D73" s="133"/>
      <c r="E73" s="137" t="s">
        <v>109</v>
      </c>
      <c r="F73" s="82" t="s">
        <v>43</v>
      </c>
      <c r="G73" s="121">
        <v>1246.5</v>
      </c>
      <c r="H73" s="59"/>
      <c r="I73" s="89"/>
      <c r="J73" s="1"/>
      <c r="L73" s="54"/>
      <c r="M73" s="18"/>
    </row>
    <row r="74" spans="3:13" x14ac:dyDescent="0.25">
      <c r="C74" s="32"/>
      <c r="D74" s="116" t="s">
        <v>110</v>
      </c>
      <c r="E74" s="138" t="s">
        <v>111</v>
      </c>
      <c r="F74" s="118"/>
      <c r="G74" s="121"/>
      <c r="H74" s="121"/>
      <c r="I74" s="89"/>
      <c r="J74" s="1"/>
      <c r="L74" s="54"/>
      <c r="M74" s="42"/>
    </row>
    <row r="75" spans="3:13" ht="63.75" x14ac:dyDescent="0.25">
      <c r="C75" s="32">
        <f>MAX($C$7:C74)+1</f>
        <v>37</v>
      </c>
      <c r="D75" s="139"/>
      <c r="E75" s="134" t="s">
        <v>112</v>
      </c>
      <c r="F75" s="140" t="s">
        <v>43</v>
      </c>
      <c r="G75" s="121">
        <f>1234+239</f>
        <v>1473</v>
      </c>
      <c r="H75" s="59"/>
      <c r="I75" s="89"/>
      <c r="J75" s="1"/>
      <c r="L75" s="54"/>
      <c r="M75" s="42"/>
    </row>
    <row r="76" spans="3:13" ht="25.5" x14ac:dyDescent="0.25">
      <c r="C76" s="32"/>
      <c r="D76" s="116" t="s">
        <v>113</v>
      </c>
      <c r="E76" s="123" t="s">
        <v>114</v>
      </c>
      <c r="F76" s="118"/>
      <c r="G76" s="121"/>
      <c r="H76" s="121"/>
      <c r="I76" s="89"/>
      <c r="J76" s="1"/>
      <c r="L76" s="54"/>
      <c r="M76" s="42"/>
    </row>
    <row r="77" spans="3:13" ht="38.25" x14ac:dyDescent="0.25">
      <c r="C77" s="32">
        <f>MAX($C$7:C76)+1</f>
        <v>38</v>
      </c>
      <c r="D77" s="139"/>
      <c r="E77" s="137" t="s">
        <v>115</v>
      </c>
      <c r="F77" s="140" t="s">
        <v>43</v>
      </c>
      <c r="G77" s="121">
        <f>5*2+5.25*2+7.3*2+12.8*2</f>
        <v>60.7</v>
      </c>
      <c r="H77" s="121"/>
      <c r="I77" s="89"/>
      <c r="J77" s="1"/>
      <c r="L77" s="54"/>
      <c r="M77" s="42"/>
    </row>
    <row r="78" spans="3:13" ht="26.25" thickBot="1" x14ac:dyDescent="0.3">
      <c r="C78" s="32">
        <f>MAX($C$8:C77)+1</f>
        <v>39</v>
      </c>
      <c r="D78" s="141"/>
      <c r="E78" s="137" t="s">
        <v>116</v>
      </c>
      <c r="F78" s="140" t="s">
        <v>43</v>
      </c>
      <c r="G78" s="121">
        <f>26.8*6</f>
        <v>160.80000000000001</v>
      </c>
      <c r="H78" s="121"/>
      <c r="I78" s="89"/>
      <c r="J78" s="1"/>
      <c r="L78" s="54"/>
      <c r="M78" s="42"/>
    </row>
    <row r="79" spans="3:13" ht="15" customHeight="1" thickBot="1" x14ac:dyDescent="0.3">
      <c r="C79" s="114">
        <v>7</v>
      </c>
      <c r="D79" s="92" t="s">
        <v>117</v>
      </c>
      <c r="E79" s="273" t="s">
        <v>118</v>
      </c>
      <c r="F79" s="274"/>
      <c r="G79" s="274"/>
      <c r="H79" s="275"/>
      <c r="I79" s="142">
        <f>SUM(I80:I83)</f>
        <v>0</v>
      </c>
      <c r="J79" s="1"/>
      <c r="K79" s="54"/>
      <c r="L79" s="54"/>
      <c r="M79" s="18"/>
    </row>
    <row r="80" spans="3:13" x14ac:dyDescent="0.25">
      <c r="C80" s="115"/>
      <c r="D80" s="143" t="s">
        <v>119</v>
      </c>
      <c r="E80" s="144" t="s">
        <v>120</v>
      </c>
      <c r="F80" s="145"/>
      <c r="G80" s="95">
        <v>0</v>
      </c>
      <c r="H80" s="60"/>
      <c r="I80" s="146">
        <v>0</v>
      </c>
      <c r="J80" s="1"/>
      <c r="K80" s="147"/>
      <c r="L80" s="54"/>
      <c r="M80" s="18"/>
    </row>
    <row r="81" spans="3:13" ht="25.5" x14ac:dyDescent="0.25">
      <c r="C81" s="32">
        <f>MAX($C$7:C80)+1</f>
        <v>40</v>
      </c>
      <c r="D81" s="148"/>
      <c r="E81" s="149" t="s">
        <v>121</v>
      </c>
      <c r="F81" s="140" t="s">
        <v>43</v>
      </c>
      <c r="G81" s="59">
        <v>519</v>
      </c>
      <c r="H81" s="59"/>
      <c r="I81" s="72"/>
      <c r="J81" s="1"/>
      <c r="K81" s="147"/>
      <c r="L81" s="54"/>
      <c r="M81" s="18"/>
    </row>
    <row r="82" spans="3:13" x14ac:dyDescent="0.25">
      <c r="C82" s="115"/>
      <c r="D82" s="143" t="s">
        <v>122</v>
      </c>
      <c r="E82" s="144" t="s">
        <v>123</v>
      </c>
      <c r="F82" s="118"/>
      <c r="G82" s="95">
        <v>0</v>
      </c>
      <c r="H82" s="60"/>
      <c r="I82" s="61"/>
      <c r="J82" s="1"/>
      <c r="K82" s="147"/>
      <c r="L82" s="54"/>
      <c r="M82" s="18"/>
    </row>
    <row r="83" spans="3:13" ht="13.5" thickBot="1" x14ac:dyDescent="0.3">
      <c r="C83" s="32">
        <f>MAX($C$7:C82)+1</f>
        <v>41</v>
      </c>
      <c r="D83" s="150"/>
      <c r="E83" s="149" t="s">
        <v>124</v>
      </c>
      <c r="F83" s="140" t="s">
        <v>52</v>
      </c>
      <c r="G83" s="59">
        <f>13.3*2+80.7+36.5+37.6+8.3+15.7+10.7+8.15+27.5+19.8+5.4+16.8+11+42.4</f>
        <v>347.15</v>
      </c>
      <c r="H83" s="59"/>
      <c r="I83" s="89"/>
      <c r="J83" s="1"/>
      <c r="K83" s="147"/>
      <c r="L83" s="54"/>
      <c r="M83" s="18"/>
    </row>
    <row r="84" spans="3:13" ht="14.1" customHeight="1" thickBot="1" x14ac:dyDescent="0.3">
      <c r="C84" s="114">
        <v>8</v>
      </c>
      <c r="D84" s="151" t="s">
        <v>125</v>
      </c>
      <c r="E84" s="264" t="s">
        <v>126</v>
      </c>
      <c r="F84" s="253"/>
      <c r="G84" s="253"/>
      <c r="H84" s="254"/>
      <c r="I84" s="53">
        <f>SUM(I86:I94)</f>
        <v>0</v>
      </c>
      <c r="J84" s="1"/>
      <c r="K84" s="54"/>
      <c r="L84" s="54"/>
      <c r="M84" s="18"/>
    </row>
    <row r="85" spans="3:13" ht="14.1" customHeight="1" x14ac:dyDescent="0.25">
      <c r="C85" s="115"/>
      <c r="D85" s="152" t="s">
        <v>127</v>
      </c>
      <c r="E85" s="144" t="s">
        <v>128</v>
      </c>
      <c r="F85" s="118"/>
      <c r="G85" s="59">
        <v>0</v>
      </c>
      <c r="H85" s="71"/>
      <c r="I85" s="72">
        <v>0</v>
      </c>
      <c r="J85" s="1"/>
      <c r="K85" s="54"/>
      <c r="L85" s="54"/>
      <c r="M85" s="18"/>
    </row>
    <row r="86" spans="3:13" ht="24.6" customHeight="1" x14ac:dyDescent="0.25">
      <c r="C86" s="32">
        <f>MAX($C$7:C85)+1</f>
        <v>42</v>
      </c>
      <c r="D86" s="153"/>
      <c r="E86" s="154" t="s">
        <v>129</v>
      </c>
      <c r="F86" s="120" t="s">
        <v>43</v>
      </c>
      <c r="G86" s="59">
        <f>9*0.12+123.9*0.24+89*0.08+375*0.12+17*0.5</f>
        <v>91.436000000000007</v>
      </c>
      <c r="H86" s="59"/>
      <c r="I86" s="89"/>
      <c r="J86" s="1"/>
      <c r="K86" s="54"/>
      <c r="L86" s="54"/>
      <c r="M86" s="18"/>
    </row>
    <row r="87" spans="3:13" ht="13.35" customHeight="1" x14ac:dyDescent="0.25">
      <c r="C87" s="115"/>
      <c r="D87" s="152" t="s">
        <v>130</v>
      </c>
      <c r="E87" s="144" t="s">
        <v>131</v>
      </c>
      <c r="F87" s="118"/>
      <c r="G87" s="59">
        <v>0</v>
      </c>
      <c r="H87" s="71"/>
      <c r="I87" s="72"/>
      <c r="J87" s="1"/>
      <c r="L87" s="54"/>
      <c r="M87" s="18"/>
    </row>
    <row r="88" spans="3:13" x14ac:dyDescent="0.25">
      <c r="C88" s="32">
        <f>MAX($C$7:C87)+1</f>
        <v>43</v>
      </c>
      <c r="D88" s="153"/>
      <c r="E88" s="154" t="s">
        <v>132</v>
      </c>
      <c r="F88" s="120" t="s">
        <v>37</v>
      </c>
      <c r="G88" s="59">
        <v>6</v>
      </c>
      <c r="H88" s="59"/>
      <c r="I88" s="89"/>
      <c r="J88" s="1"/>
      <c r="L88" s="54"/>
      <c r="M88" s="18"/>
    </row>
    <row r="89" spans="3:13" x14ac:dyDescent="0.25">
      <c r="C89" s="32">
        <f>MAX($C$7:C88)+1</f>
        <v>44</v>
      </c>
      <c r="D89" s="155"/>
      <c r="E89" s="154" t="s">
        <v>133</v>
      </c>
      <c r="F89" s="120" t="s">
        <v>37</v>
      </c>
      <c r="G89" s="59">
        <f>6+4</f>
        <v>10</v>
      </c>
      <c r="H89" s="59"/>
      <c r="I89" s="89"/>
      <c r="J89" s="1"/>
      <c r="L89" s="54"/>
      <c r="M89" s="18"/>
    </row>
    <row r="90" spans="3:13" x14ac:dyDescent="0.25">
      <c r="C90" s="32">
        <f>MAX($C$7:C89)+1</f>
        <v>45</v>
      </c>
      <c r="D90" s="155"/>
      <c r="E90" s="154" t="s">
        <v>134</v>
      </c>
      <c r="F90" s="120" t="s">
        <v>37</v>
      </c>
      <c r="G90" s="59">
        <v>4</v>
      </c>
      <c r="H90" s="59"/>
      <c r="I90" s="89"/>
      <c r="J90" s="1"/>
      <c r="L90" s="54"/>
      <c r="M90" s="18"/>
    </row>
    <row r="91" spans="3:13" x14ac:dyDescent="0.25">
      <c r="C91" s="32">
        <f>MAX($C$7:C90)+1</f>
        <v>46</v>
      </c>
      <c r="D91" s="155"/>
      <c r="E91" s="154" t="s">
        <v>135</v>
      </c>
      <c r="F91" s="120" t="s">
        <v>37</v>
      </c>
      <c r="G91" s="59">
        <v>2</v>
      </c>
      <c r="H91" s="59"/>
      <c r="I91" s="89"/>
      <c r="J91" s="1"/>
      <c r="L91" s="54"/>
      <c r="M91" s="18"/>
    </row>
    <row r="92" spans="3:13" x14ac:dyDescent="0.25">
      <c r="C92" s="32">
        <f>MAX($C$7:C91)+1</f>
        <v>47</v>
      </c>
      <c r="D92" s="155"/>
      <c r="E92" s="154" t="s">
        <v>136</v>
      </c>
      <c r="F92" s="120" t="s">
        <v>37</v>
      </c>
      <c r="G92" s="59">
        <v>4</v>
      </c>
      <c r="H92" s="59"/>
      <c r="I92" s="89"/>
      <c r="J92" s="1"/>
      <c r="L92" s="54"/>
      <c r="M92" s="18"/>
    </row>
    <row r="93" spans="3:13" x14ac:dyDescent="0.25">
      <c r="C93" s="115"/>
      <c r="D93" s="156" t="s">
        <v>137</v>
      </c>
      <c r="E93" s="144" t="s">
        <v>138</v>
      </c>
      <c r="F93" s="118"/>
      <c r="G93" s="59">
        <v>0</v>
      </c>
      <c r="H93" s="71"/>
      <c r="I93" s="72"/>
      <c r="J93" s="1"/>
      <c r="L93" s="54"/>
      <c r="M93" s="18"/>
    </row>
    <row r="94" spans="3:13" ht="39" thickBot="1" x14ac:dyDescent="0.3">
      <c r="C94" s="32">
        <f>MAX($C$7:C93)+1</f>
        <v>48</v>
      </c>
      <c r="D94" s="157"/>
      <c r="E94" s="158" t="s">
        <v>139</v>
      </c>
      <c r="F94" s="159" t="s">
        <v>52</v>
      </c>
      <c r="G94" s="59">
        <f>20+30+32+42+15+84.2*2</f>
        <v>307.39999999999998</v>
      </c>
      <c r="H94" s="59"/>
      <c r="I94" s="89"/>
      <c r="J94" s="1"/>
      <c r="L94" s="54"/>
      <c r="M94" s="18"/>
    </row>
    <row r="95" spans="3:13" ht="14.1" customHeight="1" thickBot="1" x14ac:dyDescent="0.3">
      <c r="C95" s="160">
        <v>9</v>
      </c>
      <c r="D95" s="151" t="s">
        <v>140</v>
      </c>
      <c r="E95" s="264" t="s">
        <v>141</v>
      </c>
      <c r="F95" s="253"/>
      <c r="G95" s="253"/>
      <c r="H95" s="254"/>
      <c r="I95" s="53">
        <f>SUM(I96:I99)</f>
        <v>0</v>
      </c>
      <c r="J95" s="1"/>
      <c r="K95" s="54"/>
      <c r="L95" s="54"/>
      <c r="M95" s="18"/>
    </row>
    <row r="96" spans="3:13" x14ac:dyDescent="0.25">
      <c r="C96" s="132"/>
      <c r="D96" s="161" t="s">
        <v>142</v>
      </c>
      <c r="E96" s="162" t="s">
        <v>143</v>
      </c>
      <c r="F96" s="118"/>
      <c r="G96" s="95">
        <v>0</v>
      </c>
      <c r="H96" s="60"/>
      <c r="I96" s="61">
        <v>0</v>
      </c>
      <c r="J96" s="1"/>
      <c r="K96" s="54"/>
      <c r="L96" s="54"/>
      <c r="M96" s="18"/>
    </row>
    <row r="97" spans="3:13" ht="25.5" x14ac:dyDescent="0.25">
      <c r="C97" s="32">
        <f>MAX($C$7:C96)+1</f>
        <v>49</v>
      </c>
      <c r="D97" s="98"/>
      <c r="E97" s="163" t="s">
        <v>144</v>
      </c>
      <c r="F97" s="140" t="s">
        <v>52</v>
      </c>
      <c r="G97" s="59">
        <f>3*3+8+16+2</f>
        <v>35</v>
      </c>
      <c r="H97" s="59"/>
      <c r="I97" s="89"/>
      <c r="J97" s="1"/>
      <c r="K97" s="54"/>
      <c r="L97" s="54"/>
      <c r="M97" s="18"/>
    </row>
    <row r="98" spans="3:13" x14ac:dyDescent="0.25">
      <c r="C98" s="115"/>
      <c r="D98" s="164" t="s">
        <v>145</v>
      </c>
      <c r="E98" s="165" t="s">
        <v>146</v>
      </c>
      <c r="F98" s="118"/>
      <c r="G98" s="59">
        <v>0</v>
      </c>
      <c r="H98" s="71"/>
      <c r="I98" s="72"/>
      <c r="J98" s="1"/>
      <c r="L98" s="54"/>
      <c r="M98" s="18"/>
    </row>
    <row r="99" spans="3:13" ht="26.25" thickBot="1" x14ac:dyDescent="0.3">
      <c r="C99" s="32">
        <f>MAX($C$7:C98)+1</f>
        <v>50</v>
      </c>
      <c r="D99" s="166"/>
      <c r="E99" s="163" t="s">
        <v>147</v>
      </c>
      <c r="F99" s="82" t="s">
        <v>52</v>
      </c>
      <c r="G99" s="130">
        <v>159.80000000000001</v>
      </c>
      <c r="H99" s="59"/>
      <c r="I99" s="89"/>
      <c r="J99" s="1"/>
      <c r="L99" s="54"/>
      <c r="M99" s="18"/>
    </row>
    <row r="100" spans="3:13" ht="15" customHeight="1" thickBot="1" x14ac:dyDescent="0.3">
      <c r="C100" s="114">
        <v>10</v>
      </c>
      <c r="D100" s="92" t="s">
        <v>148</v>
      </c>
      <c r="E100" s="253" t="s">
        <v>149</v>
      </c>
      <c r="F100" s="253"/>
      <c r="G100" s="253"/>
      <c r="H100" s="254"/>
      <c r="I100" s="53">
        <f>SUM(I101:I102)</f>
        <v>0</v>
      </c>
      <c r="J100" s="1"/>
      <c r="K100" s="54"/>
      <c r="L100" s="54"/>
      <c r="M100" s="18"/>
    </row>
    <row r="101" spans="3:13" x14ac:dyDescent="0.25">
      <c r="C101" s="115"/>
      <c r="D101" s="167" t="s">
        <v>150</v>
      </c>
      <c r="E101" s="168" t="s">
        <v>151</v>
      </c>
      <c r="F101" s="118"/>
      <c r="G101" s="95">
        <v>0</v>
      </c>
      <c r="H101" s="60"/>
      <c r="I101" s="61">
        <v>0</v>
      </c>
      <c r="J101" s="1"/>
      <c r="L101" s="54"/>
      <c r="M101" s="18"/>
    </row>
    <row r="102" spans="3:13" ht="26.25" thickBot="1" x14ac:dyDescent="0.3">
      <c r="C102" s="32">
        <f>MAX($C$7:C101)+1</f>
        <v>51</v>
      </c>
      <c r="D102" s="140"/>
      <c r="E102" s="134" t="s">
        <v>152</v>
      </c>
      <c r="F102" s="139" t="s">
        <v>43</v>
      </c>
      <c r="G102" s="121">
        <v>375.14</v>
      </c>
      <c r="H102" s="59"/>
      <c r="I102" s="89"/>
      <c r="J102" s="1"/>
      <c r="L102" s="54"/>
      <c r="M102" s="42"/>
    </row>
    <row r="103" spans="3:13" ht="28.5" customHeight="1" thickTop="1" thickBot="1" x14ac:dyDescent="0.3">
      <c r="C103" s="268" t="s">
        <v>153</v>
      </c>
      <c r="D103" s="269"/>
      <c r="E103" s="269"/>
      <c r="F103" s="269"/>
      <c r="G103" s="269"/>
      <c r="H103" s="269"/>
      <c r="I103" s="169">
        <f>I100+I95+I84+I79+I68+I53+I44+I37+I20+I9</f>
        <v>0</v>
      </c>
      <c r="J103" s="170"/>
      <c r="M103" s="54"/>
    </row>
    <row r="104" spans="3:13" ht="27" customHeight="1" thickTop="1" thickBot="1" x14ac:dyDescent="0.3">
      <c r="C104" s="257" t="s">
        <v>154</v>
      </c>
      <c r="D104" s="258"/>
      <c r="E104" s="258"/>
      <c r="F104" s="258"/>
      <c r="G104" s="258"/>
      <c r="H104" s="258"/>
      <c r="I104" s="259"/>
      <c r="M104" s="54"/>
    </row>
    <row r="105" spans="3:13" ht="19.5" customHeight="1" thickTop="1" thickBot="1" x14ac:dyDescent="0.3">
      <c r="C105" s="91">
        <v>11</v>
      </c>
      <c r="D105" s="52"/>
      <c r="E105" s="52" t="s">
        <v>29</v>
      </c>
      <c r="F105" s="52"/>
      <c r="G105" s="52"/>
      <c r="H105" s="52"/>
      <c r="I105" s="171">
        <f>SUM(I106:I116)</f>
        <v>0</v>
      </c>
      <c r="M105" s="54"/>
    </row>
    <row r="106" spans="3:13" x14ac:dyDescent="0.25">
      <c r="C106" s="172"/>
      <c r="D106" s="173" t="s">
        <v>30</v>
      </c>
      <c r="E106" s="174" t="s">
        <v>155</v>
      </c>
      <c r="F106" s="82"/>
      <c r="G106" s="175"/>
      <c r="H106" s="59"/>
      <c r="I106" s="72"/>
      <c r="M106" s="54"/>
    </row>
    <row r="107" spans="3:13" x14ac:dyDescent="0.25">
      <c r="C107" s="32">
        <f>MAX($C$7:C106)+1</f>
        <v>52</v>
      </c>
      <c r="D107" s="173"/>
      <c r="E107" s="176" t="s">
        <v>156</v>
      </c>
      <c r="F107" s="82" t="s">
        <v>52</v>
      </c>
      <c r="G107" s="175">
        <v>23</v>
      </c>
      <c r="H107" s="59"/>
      <c r="I107" s="89"/>
    </row>
    <row r="108" spans="3:13" x14ac:dyDescent="0.25">
      <c r="C108" s="172"/>
      <c r="D108" s="173" t="s">
        <v>49</v>
      </c>
      <c r="E108" s="174" t="s">
        <v>157</v>
      </c>
      <c r="F108" s="116"/>
      <c r="G108" s="175"/>
      <c r="H108" s="59"/>
      <c r="I108" s="72"/>
    </row>
    <row r="109" spans="3:13" ht="14.25" x14ac:dyDescent="0.25">
      <c r="C109" s="32">
        <f>MAX($C$7:C108)+1</f>
        <v>53</v>
      </c>
      <c r="D109" s="265"/>
      <c r="E109" s="81" t="s">
        <v>158</v>
      </c>
      <c r="F109" s="82" t="s">
        <v>43</v>
      </c>
      <c r="G109" s="175">
        <f>8.7*9.4</f>
        <v>81.78</v>
      </c>
      <c r="H109" s="59"/>
      <c r="I109" s="89"/>
    </row>
    <row r="110" spans="3:13" ht="14.25" x14ac:dyDescent="0.25">
      <c r="C110" s="32">
        <f>MAX($C$7:C109)+1</f>
        <v>54</v>
      </c>
      <c r="D110" s="266"/>
      <c r="E110" s="81" t="s">
        <v>159</v>
      </c>
      <c r="F110" s="82" t="s">
        <v>43</v>
      </c>
      <c r="G110" s="175">
        <f>8.7*9.4</f>
        <v>81.78</v>
      </c>
      <c r="H110" s="59"/>
      <c r="I110" s="89"/>
    </row>
    <row r="111" spans="3:13" x14ac:dyDescent="0.25">
      <c r="C111" s="32">
        <f>MAX($C$7:C110)+1</f>
        <v>55</v>
      </c>
      <c r="D111" s="266"/>
      <c r="E111" s="81" t="s">
        <v>160</v>
      </c>
      <c r="F111" s="177" t="s">
        <v>37</v>
      </c>
      <c r="G111" s="175">
        <v>2</v>
      </c>
      <c r="H111" s="59"/>
      <c r="I111" s="89"/>
    </row>
    <row r="112" spans="3:13" x14ac:dyDescent="0.25">
      <c r="C112" s="32">
        <f>MAX($C$7:C111)+1</f>
        <v>56</v>
      </c>
      <c r="D112" s="266"/>
      <c r="E112" s="81" t="s">
        <v>161</v>
      </c>
      <c r="F112" s="177" t="s">
        <v>52</v>
      </c>
      <c r="G112" s="175">
        <f>15.44*2</f>
        <v>30.88</v>
      </c>
      <c r="H112" s="59"/>
      <c r="I112" s="89"/>
    </row>
    <row r="113" spans="3:13" x14ac:dyDescent="0.25">
      <c r="C113" s="32">
        <f>MAX($C$7:C112)+1</f>
        <v>57</v>
      </c>
      <c r="D113" s="266"/>
      <c r="E113" s="81" t="s">
        <v>162</v>
      </c>
      <c r="F113" s="177" t="s">
        <v>52</v>
      </c>
      <c r="G113" s="175">
        <f>4.4*2</f>
        <v>8.8000000000000007</v>
      </c>
      <c r="H113" s="59"/>
      <c r="I113" s="89"/>
    </row>
    <row r="114" spans="3:13" ht="14.25" x14ac:dyDescent="0.25">
      <c r="C114" s="32">
        <f>MAX($C$7:C113)+1</f>
        <v>58</v>
      </c>
      <c r="D114" s="266"/>
      <c r="E114" s="81" t="s">
        <v>163</v>
      </c>
      <c r="F114" s="82" t="s">
        <v>56</v>
      </c>
      <c r="G114" s="175">
        <f>6.4*9.42+3.12*19.2*2+3.9*0.85*4</f>
        <v>193.35599999999999</v>
      </c>
      <c r="H114" s="178"/>
      <c r="I114" s="89"/>
      <c r="M114" s="54"/>
    </row>
    <row r="115" spans="3:13" ht="25.5" x14ac:dyDescent="0.25">
      <c r="C115" s="32">
        <f>MAX($C$7:C114)+1</f>
        <v>59</v>
      </c>
      <c r="D115" s="266"/>
      <c r="E115" s="81" t="s">
        <v>164</v>
      </c>
      <c r="F115" s="82" t="s">
        <v>56</v>
      </c>
      <c r="G115" s="175">
        <f>0.8*0.3*4.4*2+5*0.5*0.5*4</f>
        <v>7.1120000000000001</v>
      </c>
      <c r="H115" s="178"/>
      <c r="I115" s="89"/>
    </row>
    <row r="116" spans="3:13" ht="15" thickBot="1" x14ac:dyDescent="0.3">
      <c r="C116" s="32">
        <f>MAX($C$7:C115)+1</f>
        <v>60</v>
      </c>
      <c r="D116" s="267"/>
      <c r="E116" s="81" t="s">
        <v>165</v>
      </c>
      <c r="F116" s="82" t="s">
        <v>56</v>
      </c>
      <c r="G116" s="175">
        <f>55</f>
        <v>55</v>
      </c>
      <c r="H116" s="178"/>
      <c r="I116" s="89"/>
      <c r="M116" s="54"/>
    </row>
    <row r="117" spans="3:13" ht="13.5" thickBot="1" x14ac:dyDescent="0.3">
      <c r="C117" s="91">
        <v>12</v>
      </c>
      <c r="D117" s="48"/>
      <c r="E117" s="52" t="s">
        <v>166</v>
      </c>
      <c r="F117" s="52"/>
      <c r="G117" s="52"/>
      <c r="H117" s="52"/>
      <c r="I117" s="179">
        <f>SUM(I118:I126)</f>
        <v>0</v>
      </c>
    </row>
    <row r="118" spans="3:13" x14ac:dyDescent="0.25">
      <c r="C118" s="172"/>
      <c r="D118" s="173" t="s">
        <v>167</v>
      </c>
      <c r="E118" s="174" t="s">
        <v>168</v>
      </c>
      <c r="F118" s="82"/>
      <c r="G118" s="180"/>
      <c r="H118" s="59"/>
      <c r="I118" s="66"/>
    </row>
    <row r="119" spans="3:13" ht="25.5" x14ac:dyDescent="0.25">
      <c r="C119" s="32">
        <f>MAX($C$7:C118)+1</f>
        <v>61</v>
      </c>
      <c r="D119" s="181"/>
      <c r="E119" s="182" t="s">
        <v>169</v>
      </c>
      <c r="F119" s="82" t="s">
        <v>56</v>
      </c>
      <c r="G119" s="180">
        <f>(13.4*10+4.35*10+24.3*4/2*2)*2</f>
        <v>549.4</v>
      </c>
      <c r="H119" s="178"/>
      <c r="I119" s="89"/>
    </row>
    <row r="120" spans="3:13" x14ac:dyDescent="0.25">
      <c r="C120" s="172"/>
      <c r="D120" s="173" t="s">
        <v>170</v>
      </c>
      <c r="E120" s="174" t="s">
        <v>171</v>
      </c>
      <c r="F120" s="82"/>
      <c r="G120" s="180"/>
      <c r="H120" s="59"/>
      <c r="I120" s="72"/>
    </row>
    <row r="121" spans="3:13" ht="25.5" x14ac:dyDescent="0.25">
      <c r="C121" s="32">
        <f>MAX($C$7:C120)+1</f>
        <v>62</v>
      </c>
      <c r="D121" s="181"/>
      <c r="E121" s="183" t="s">
        <v>172</v>
      </c>
      <c r="F121" s="82" t="s">
        <v>56</v>
      </c>
      <c r="G121" s="180">
        <f>(13.1*14+13.3*2*2)*2</f>
        <v>473.20000000000005</v>
      </c>
      <c r="H121" s="178"/>
      <c r="I121" s="89"/>
    </row>
    <row r="122" spans="3:13" x14ac:dyDescent="0.25">
      <c r="C122" s="172"/>
      <c r="D122" s="173" t="s">
        <v>173</v>
      </c>
      <c r="E122" s="174" t="s">
        <v>174</v>
      </c>
      <c r="F122" s="82"/>
      <c r="G122" s="180"/>
      <c r="H122" s="59"/>
      <c r="I122" s="72"/>
    </row>
    <row r="123" spans="3:13" ht="25.5" x14ac:dyDescent="0.25">
      <c r="C123" s="32">
        <f>MAX($C$7:C122)+1</f>
        <v>63</v>
      </c>
      <c r="D123" s="184"/>
      <c r="E123" s="176" t="s">
        <v>175</v>
      </c>
      <c r="F123" s="82" t="s">
        <v>37</v>
      </c>
      <c r="G123" s="180">
        <f>4*9</f>
        <v>36</v>
      </c>
      <c r="H123" s="59"/>
      <c r="I123" s="89"/>
    </row>
    <row r="124" spans="3:13" x14ac:dyDescent="0.25">
      <c r="C124" s="32">
        <f>MAX($C$7:C123)+1</f>
        <v>64</v>
      </c>
      <c r="D124" s="185"/>
      <c r="E124" s="176" t="s">
        <v>176</v>
      </c>
      <c r="F124" s="82" t="s">
        <v>37</v>
      </c>
      <c r="G124" s="180">
        <v>2</v>
      </c>
      <c r="H124" s="59"/>
      <c r="I124" s="89"/>
    </row>
    <row r="125" spans="3:13" x14ac:dyDescent="0.25">
      <c r="C125" s="172"/>
      <c r="D125" s="173" t="s">
        <v>177</v>
      </c>
      <c r="E125" s="174" t="s">
        <v>178</v>
      </c>
      <c r="F125" s="82"/>
      <c r="G125" s="180"/>
      <c r="H125" s="59"/>
      <c r="I125" s="72"/>
    </row>
    <row r="126" spans="3:13" ht="15" thickBot="1" x14ac:dyDescent="0.3">
      <c r="C126" s="32">
        <f>MAX($C$7:C125)+1</f>
        <v>65</v>
      </c>
      <c r="D126" s="181"/>
      <c r="E126" s="176" t="s">
        <v>179</v>
      </c>
      <c r="F126" s="82" t="s">
        <v>43</v>
      </c>
      <c r="G126" s="180">
        <f>(2*2+14.8*2)*5*2</f>
        <v>336</v>
      </c>
      <c r="H126" s="59"/>
      <c r="I126" s="89"/>
    </row>
    <row r="127" spans="3:13" ht="13.5" thickBot="1" x14ac:dyDescent="0.3">
      <c r="C127" s="186">
        <v>13</v>
      </c>
      <c r="D127" s="187"/>
      <c r="E127" s="52" t="s">
        <v>180</v>
      </c>
      <c r="F127" s="52"/>
      <c r="G127" s="52"/>
      <c r="H127" s="52"/>
      <c r="I127" s="179">
        <f>SUM(I129:I132)</f>
        <v>0</v>
      </c>
    </row>
    <row r="128" spans="3:13" x14ac:dyDescent="0.25">
      <c r="C128" s="172"/>
      <c r="D128" s="173" t="s">
        <v>181</v>
      </c>
      <c r="E128" s="174" t="s">
        <v>182</v>
      </c>
      <c r="F128" s="82"/>
      <c r="G128" s="180"/>
      <c r="H128" s="59"/>
      <c r="I128" s="72"/>
    </row>
    <row r="129" spans="3:9" x14ac:dyDescent="0.25">
      <c r="C129" s="32">
        <f>MAX($C$7:C128)+1</f>
        <v>66</v>
      </c>
      <c r="D129" s="184"/>
      <c r="E129" s="183" t="s">
        <v>183</v>
      </c>
      <c r="F129" s="82" t="s">
        <v>184</v>
      </c>
      <c r="G129" s="180">
        <v>10340</v>
      </c>
      <c r="H129" s="59"/>
      <c r="I129" s="89"/>
    </row>
    <row r="130" spans="3:9" x14ac:dyDescent="0.25">
      <c r="C130" s="32">
        <f>MAX($C$7:C129)+1</f>
        <v>67</v>
      </c>
      <c r="D130" s="188"/>
      <c r="E130" s="183" t="s">
        <v>185</v>
      </c>
      <c r="F130" s="82" t="s">
        <v>184</v>
      </c>
      <c r="G130" s="180">
        <v>26991</v>
      </c>
      <c r="H130" s="59"/>
      <c r="I130" s="89"/>
    </row>
    <row r="131" spans="3:9" x14ac:dyDescent="0.25">
      <c r="C131" s="32">
        <f>MAX($C$7:C130)+1</f>
        <v>68</v>
      </c>
      <c r="D131" s="188"/>
      <c r="E131" s="183" t="s">
        <v>186</v>
      </c>
      <c r="F131" s="82" t="s">
        <v>184</v>
      </c>
      <c r="G131" s="180">
        <v>4179</v>
      </c>
      <c r="H131" s="59"/>
      <c r="I131" s="89"/>
    </row>
    <row r="132" spans="3:9" ht="13.5" thickBot="1" x14ac:dyDescent="0.3">
      <c r="C132" s="32">
        <f>MAX($C$7:C131)+1</f>
        <v>69</v>
      </c>
      <c r="D132" s="189"/>
      <c r="E132" s="183" t="s">
        <v>187</v>
      </c>
      <c r="F132" s="82" t="s">
        <v>184</v>
      </c>
      <c r="G132" s="180">
        <v>4519</v>
      </c>
      <c r="H132" s="59"/>
      <c r="I132" s="89"/>
    </row>
    <row r="133" spans="3:9" ht="13.5" thickBot="1" x14ac:dyDescent="0.3">
      <c r="C133" s="186">
        <v>14</v>
      </c>
      <c r="D133" s="187"/>
      <c r="E133" s="52" t="s">
        <v>188</v>
      </c>
      <c r="F133" s="52"/>
      <c r="G133" s="52"/>
      <c r="H133" s="52"/>
      <c r="I133" s="179">
        <f>SUM(I135:I149)</f>
        <v>0</v>
      </c>
    </row>
    <row r="134" spans="3:9" x14ac:dyDescent="0.25">
      <c r="C134" s="172"/>
      <c r="D134" s="173" t="s">
        <v>189</v>
      </c>
      <c r="E134" s="174" t="s">
        <v>190</v>
      </c>
      <c r="F134" s="82"/>
      <c r="G134" s="180"/>
      <c r="H134" s="59"/>
      <c r="I134" s="72"/>
    </row>
    <row r="135" spans="3:9" ht="14.25" x14ac:dyDescent="0.25">
      <c r="C135" s="32">
        <f>MAX($C$7:C134)+1</f>
        <v>70</v>
      </c>
      <c r="D135" s="181"/>
      <c r="E135" s="182" t="s">
        <v>191</v>
      </c>
      <c r="F135" s="82" t="s">
        <v>56</v>
      </c>
      <c r="G135" s="180">
        <v>42</v>
      </c>
      <c r="H135" s="59"/>
      <c r="I135" s="89"/>
    </row>
    <row r="136" spans="3:9" x14ac:dyDescent="0.25">
      <c r="C136" s="172"/>
      <c r="D136" s="173" t="s">
        <v>189</v>
      </c>
      <c r="E136" s="174" t="s">
        <v>192</v>
      </c>
      <c r="F136" s="82"/>
      <c r="G136" s="180"/>
      <c r="H136" s="59"/>
      <c r="I136" s="72"/>
    </row>
    <row r="137" spans="3:9" ht="14.25" x14ac:dyDescent="0.25">
      <c r="C137" s="32">
        <f>MAX($C$7:C136)+1</f>
        <v>71</v>
      </c>
      <c r="D137" s="181"/>
      <c r="E137" s="182" t="s">
        <v>193</v>
      </c>
      <c r="F137" s="82" t="s">
        <v>56</v>
      </c>
      <c r="G137" s="180">
        <v>160</v>
      </c>
      <c r="H137" s="59"/>
      <c r="I137" s="89"/>
    </row>
    <row r="138" spans="3:9" x14ac:dyDescent="0.25">
      <c r="C138" s="172"/>
      <c r="D138" s="173" t="s">
        <v>189</v>
      </c>
      <c r="E138" s="174" t="s">
        <v>194</v>
      </c>
      <c r="F138" s="82"/>
      <c r="G138" s="180"/>
      <c r="H138" s="59"/>
      <c r="I138" s="72"/>
    </row>
    <row r="139" spans="3:9" ht="14.25" x14ac:dyDescent="0.25">
      <c r="C139" s="32">
        <f>MAX($C$7:C138)+1</f>
        <v>72</v>
      </c>
      <c r="D139" s="181"/>
      <c r="E139" s="182" t="s">
        <v>195</v>
      </c>
      <c r="F139" s="82" t="s">
        <v>56</v>
      </c>
      <c r="G139" s="180">
        <v>28</v>
      </c>
      <c r="H139" s="59"/>
      <c r="I139" s="89"/>
    </row>
    <row r="140" spans="3:9" x14ac:dyDescent="0.25">
      <c r="C140" s="172"/>
      <c r="D140" s="173" t="s">
        <v>189</v>
      </c>
      <c r="E140" s="174" t="s">
        <v>196</v>
      </c>
      <c r="F140" s="82"/>
      <c r="G140" s="180"/>
      <c r="H140" s="59"/>
      <c r="I140" s="72"/>
    </row>
    <row r="141" spans="3:9" ht="14.25" x14ac:dyDescent="0.25">
      <c r="C141" s="32">
        <f>MAX($C$7:C140)+1</f>
        <v>73</v>
      </c>
      <c r="D141" s="181"/>
      <c r="E141" s="182" t="s">
        <v>197</v>
      </c>
      <c r="F141" s="82" t="s">
        <v>56</v>
      </c>
      <c r="G141" s="180">
        <v>33.5</v>
      </c>
      <c r="H141" s="59"/>
      <c r="I141" s="89"/>
    </row>
    <row r="142" spans="3:9" x14ac:dyDescent="0.25">
      <c r="C142" s="172"/>
      <c r="D142" s="173" t="s">
        <v>189</v>
      </c>
      <c r="E142" s="174" t="s">
        <v>198</v>
      </c>
      <c r="F142" s="82"/>
      <c r="G142" s="180"/>
      <c r="H142" s="59"/>
      <c r="I142" s="72"/>
    </row>
    <row r="143" spans="3:9" ht="14.25" x14ac:dyDescent="0.25">
      <c r="C143" s="32">
        <f>MAX($C$7:C142)+1</f>
        <v>74</v>
      </c>
      <c r="D143" s="181"/>
      <c r="E143" s="182" t="s">
        <v>199</v>
      </c>
      <c r="F143" s="82" t="s">
        <v>56</v>
      </c>
      <c r="G143" s="180">
        <f>10+3.5+2*2.1*2*0.15*2.1*14.18</f>
        <v>51.020280000000007</v>
      </c>
      <c r="H143" s="178"/>
      <c r="I143" s="89"/>
    </row>
    <row r="144" spans="3:9" ht="30" customHeight="1" x14ac:dyDescent="0.25">
      <c r="C144" s="172"/>
      <c r="D144" s="173" t="s">
        <v>200</v>
      </c>
      <c r="E144" s="174" t="s">
        <v>201</v>
      </c>
      <c r="F144" s="82"/>
      <c r="G144" s="180"/>
      <c r="H144" s="59"/>
      <c r="I144" s="72"/>
    </row>
    <row r="145" spans="3:9" ht="29.1" customHeight="1" x14ac:dyDescent="0.25">
      <c r="C145" s="32">
        <f>MAX($C$7:C144)+1</f>
        <v>75</v>
      </c>
      <c r="D145" s="184"/>
      <c r="E145" s="182" t="s">
        <v>202</v>
      </c>
      <c r="F145" s="82" t="s">
        <v>37</v>
      </c>
      <c r="G145" s="180">
        <v>9</v>
      </c>
      <c r="H145" s="59"/>
      <c r="I145" s="89"/>
    </row>
    <row r="146" spans="3:9" ht="30" customHeight="1" x14ac:dyDescent="0.25">
      <c r="C146" s="32">
        <f>MAX($C$7:C145)+1</f>
        <v>76</v>
      </c>
      <c r="D146" s="188"/>
      <c r="E146" s="182" t="s">
        <v>203</v>
      </c>
      <c r="F146" s="82" t="s">
        <v>37</v>
      </c>
      <c r="G146" s="180">
        <v>4</v>
      </c>
      <c r="H146" s="59"/>
      <c r="I146" s="89"/>
    </row>
    <row r="147" spans="3:9" ht="25.5" x14ac:dyDescent="0.25">
      <c r="C147" s="32">
        <f>MAX($C$7:C146)+1</f>
        <v>77</v>
      </c>
      <c r="D147" s="185"/>
      <c r="E147" s="182" t="s">
        <v>204</v>
      </c>
      <c r="F147" s="82" t="s">
        <v>37</v>
      </c>
      <c r="G147" s="180">
        <v>2</v>
      </c>
      <c r="H147" s="59"/>
      <c r="I147" s="89"/>
    </row>
    <row r="148" spans="3:9" x14ac:dyDescent="0.25">
      <c r="C148" s="172"/>
      <c r="D148" s="173" t="s">
        <v>205</v>
      </c>
      <c r="E148" s="174" t="s">
        <v>206</v>
      </c>
      <c r="F148" s="82"/>
      <c r="G148" s="180"/>
      <c r="H148" s="59"/>
      <c r="I148" s="72"/>
    </row>
    <row r="149" spans="3:9" ht="26.25" thickBot="1" x14ac:dyDescent="0.3">
      <c r="C149" s="32">
        <f>MAX($C$7:C148)+1</f>
        <v>78</v>
      </c>
      <c r="D149" s="181"/>
      <c r="E149" s="176" t="s">
        <v>207</v>
      </c>
      <c r="F149" s="140" t="s">
        <v>52</v>
      </c>
      <c r="G149" s="180">
        <f>2*22.3</f>
        <v>44.6</v>
      </c>
      <c r="H149" s="59"/>
      <c r="I149" s="89"/>
    </row>
    <row r="150" spans="3:9" ht="13.5" thickBot="1" x14ac:dyDescent="0.3">
      <c r="C150" s="186">
        <v>15</v>
      </c>
      <c r="D150" s="187"/>
      <c r="E150" s="52" t="s">
        <v>208</v>
      </c>
      <c r="F150" s="52"/>
      <c r="G150" s="52"/>
      <c r="H150" s="52"/>
      <c r="I150" s="179">
        <f>SUM(I151:I152)</f>
        <v>0</v>
      </c>
    </row>
    <row r="151" spans="3:9" x14ac:dyDescent="0.25">
      <c r="C151" s="172"/>
      <c r="D151" s="173" t="s">
        <v>181</v>
      </c>
      <c r="E151" s="174" t="s">
        <v>209</v>
      </c>
      <c r="F151" s="82"/>
      <c r="G151" s="180"/>
      <c r="H151" s="59"/>
      <c r="I151" s="72"/>
    </row>
    <row r="152" spans="3:9" ht="13.5" thickBot="1" x14ac:dyDescent="0.3">
      <c r="C152" s="32">
        <f>MAX($C$7:C151)+1</f>
        <v>79</v>
      </c>
      <c r="D152" s="181"/>
      <c r="E152" s="86" t="s">
        <v>210</v>
      </c>
      <c r="F152" s="82" t="s">
        <v>37</v>
      </c>
      <c r="G152" s="180">
        <f>4*22</f>
        <v>88</v>
      </c>
      <c r="H152" s="59"/>
      <c r="I152" s="89"/>
    </row>
    <row r="153" spans="3:9" ht="13.5" thickBot="1" x14ac:dyDescent="0.3">
      <c r="C153" s="186">
        <v>16</v>
      </c>
      <c r="D153" s="187"/>
      <c r="E153" s="52" t="s">
        <v>211</v>
      </c>
      <c r="F153" s="52"/>
      <c r="G153" s="52"/>
      <c r="H153" s="52"/>
      <c r="I153" s="179">
        <f>SUM(I155:I164)</f>
        <v>0</v>
      </c>
    </row>
    <row r="154" spans="3:9" x14ac:dyDescent="0.25">
      <c r="C154" s="172"/>
      <c r="D154" s="173" t="s">
        <v>212</v>
      </c>
      <c r="E154" s="174" t="s">
        <v>213</v>
      </c>
      <c r="F154" s="82"/>
      <c r="G154" s="180"/>
      <c r="H154" s="59"/>
      <c r="I154" s="72"/>
    </row>
    <row r="155" spans="3:9" ht="14.25" x14ac:dyDescent="0.25">
      <c r="C155" s="32">
        <f>MAX($C$7:C154)+1</f>
        <v>80</v>
      </c>
      <c r="D155" s="181"/>
      <c r="E155" s="182" t="s">
        <v>214</v>
      </c>
      <c r="F155" s="82" t="s">
        <v>43</v>
      </c>
      <c r="G155" s="180">
        <f>(2*14.8+14.8*1.9+14.8*1)*2+8.7*4+6.65*4</f>
        <v>206.43999999999997</v>
      </c>
      <c r="H155" s="59"/>
      <c r="I155" s="89"/>
    </row>
    <row r="156" spans="3:9" x14ac:dyDescent="0.25">
      <c r="C156" s="172"/>
      <c r="D156" s="173" t="s">
        <v>215</v>
      </c>
      <c r="E156" s="174" t="s">
        <v>216</v>
      </c>
      <c r="F156" s="82"/>
      <c r="G156" s="180"/>
      <c r="H156" s="59"/>
      <c r="I156" s="72"/>
    </row>
    <row r="157" spans="3:9" ht="25.5" x14ac:dyDescent="0.25">
      <c r="C157" s="32">
        <f>MAX($C$7:C156)+1</f>
        <v>81</v>
      </c>
      <c r="D157" s="184"/>
      <c r="E157" s="182" t="s">
        <v>217</v>
      </c>
      <c r="F157" s="82" t="s">
        <v>43</v>
      </c>
      <c r="G157" s="180">
        <f>13.78*14.58+4*13.58*2</f>
        <v>309.55239999999998</v>
      </c>
      <c r="H157" s="59"/>
      <c r="I157" s="89"/>
    </row>
    <row r="158" spans="3:9" ht="25.5" x14ac:dyDescent="0.25">
      <c r="C158" s="32">
        <f>MAX($C$7:C157)+1</f>
        <v>82</v>
      </c>
      <c r="D158" s="185"/>
      <c r="E158" s="182" t="s">
        <v>218</v>
      </c>
      <c r="F158" s="82" t="s">
        <v>43</v>
      </c>
      <c r="G158" s="180">
        <f>14.58*(4+1.84)</f>
        <v>85.147199999999998</v>
      </c>
      <c r="H158" s="59"/>
      <c r="I158" s="89"/>
    </row>
    <row r="159" spans="3:9" x14ac:dyDescent="0.25">
      <c r="C159" s="172"/>
      <c r="D159" s="173" t="s">
        <v>219</v>
      </c>
      <c r="E159" s="174" t="s">
        <v>220</v>
      </c>
      <c r="F159" s="82"/>
      <c r="G159" s="180"/>
      <c r="H159" s="59"/>
      <c r="I159" s="72"/>
    </row>
    <row r="160" spans="3:9" ht="38.25" x14ac:dyDescent="0.25">
      <c r="C160" s="32">
        <f>MAX($C$7:C159)+1</f>
        <v>83</v>
      </c>
      <c r="D160" s="181"/>
      <c r="E160" s="182" t="s">
        <v>221</v>
      </c>
      <c r="F160" s="82" t="s">
        <v>43</v>
      </c>
      <c r="G160" s="180">
        <f>14.6*8</f>
        <v>116.8</v>
      </c>
      <c r="H160" s="59"/>
      <c r="I160" s="89"/>
    </row>
    <row r="161" spans="3:9" x14ac:dyDescent="0.25">
      <c r="C161" s="172"/>
      <c r="D161" s="116" t="s">
        <v>222</v>
      </c>
      <c r="E161" s="174" t="s">
        <v>223</v>
      </c>
      <c r="F161" s="82"/>
      <c r="G161" s="180"/>
      <c r="H161" s="59"/>
      <c r="I161" s="72"/>
    </row>
    <row r="162" spans="3:9" ht="25.5" x14ac:dyDescent="0.25">
      <c r="C162" s="32">
        <f>MAX($C$7:C161)+1</f>
        <v>84</v>
      </c>
      <c r="D162" s="181"/>
      <c r="E162" s="182" t="s">
        <v>224</v>
      </c>
      <c r="F162" s="82" t="s">
        <v>43</v>
      </c>
      <c r="G162" s="180">
        <f>G160</f>
        <v>116.8</v>
      </c>
      <c r="H162" s="59"/>
      <c r="I162" s="89"/>
    </row>
    <row r="163" spans="3:9" x14ac:dyDescent="0.25">
      <c r="C163" s="172"/>
      <c r="D163" s="173" t="s">
        <v>225</v>
      </c>
      <c r="E163" s="174" t="s">
        <v>226</v>
      </c>
      <c r="F163" s="82"/>
      <c r="G163" s="180"/>
      <c r="H163" s="59"/>
      <c r="I163" s="72"/>
    </row>
    <row r="164" spans="3:9" ht="26.25" thickBot="1" x14ac:dyDescent="0.3">
      <c r="C164" s="32">
        <f>MAX($C$7:C163)+1</f>
        <v>85</v>
      </c>
      <c r="D164" s="181"/>
      <c r="E164" s="86" t="s">
        <v>227</v>
      </c>
      <c r="F164" s="82" t="s">
        <v>43</v>
      </c>
      <c r="G164" s="180">
        <f>(14.6+4*2)*(1.8+3.9)</f>
        <v>128.82000000000002</v>
      </c>
      <c r="H164" s="59"/>
      <c r="I164" s="89"/>
    </row>
    <row r="165" spans="3:9" ht="13.5" thickBot="1" x14ac:dyDescent="0.3">
      <c r="C165" s="186">
        <v>17</v>
      </c>
      <c r="D165" s="187"/>
      <c r="E165" s="52" t="s">
        <v>228</v>
      </c>
      <c r="F165" s="52"/>
      <c r="G165" s="52"/>
      <c r="H165" s="52"/>
      <c r="I165" s="179">
        <f>SUM(I167:I172)</f>
        <v>0</v>
      </c>
    </row>
    <row r="166" spans="3:9" x14ac:dyDescent="0.25">
      <c r="C166" s="172"/>
      <c r="D166" s="173" t="s">
        <v>229</v>
      </c>
      <c r="E166" s="174" t="s">
        <v>230</v>
      </c>
      <c r="F166" s="82"/>
      <c r="G166" s="175"/>
      <c r="H166" s="59"/>
      <c r="I166" s="72"/>
    </row>
    <row r="167" spans="3:9" x14ac:dyDescent="0.25">
      <c r="C167" s="32">
        <f>MAX($C$7:C166)+1</f>
        <v>86</v>
      </c>
      <c r="D167" s="181"/>
      <c r="E167" s="86" t="s">
        <v>231</v>
      </c>
      <c r="F167" s="82" t="s">
        <v>37</v>
      </c>
      <c r="G167" s="175">
        <v>4</v>
      </c>
      <c r="H167" s="59"/>
      <c r="I167" s="89"/>
    </row>
    <row r="168" spans="3:9" x14ac:dyDescent="0.25">
      <c r="C168" s="172"/>
      <c r="D168" s="173" t="s">
        <v>232</v>
      </c>
      <c r="E168" s="174" t="s">
        <v>233</v>
      </c>
      <c r="F168" s="82"/>
      <c r="G168" s="175"/>
      <c r="H168" s="59"/>
      <c r="I168" s="72"/>
    </row>
    <row r="169" spans="3:9" x14ac:dyDescent="0.25">
      <c r="C169" s="32">
        <f>MAX($C$7:C168)+1</f>
        <v>87</v>
      </c>
      <c r="D169" s="184"/>
      <c r="E169" s="86" t="s">
        <v>234</v>
      </c>
      <c r="F169" s="82" t="s">
        <v>52</v>
      </c>
      <c r="G169" s="175">
        <f>3*10+1.5*10+14.6*2</f>
        <v>74.2</v>
      </c>
      <c r="H169" s="59"/>
      <c r="I169" s="89"/>
    </row>
    <row r="170" spans="3:9" x14ac:dyDescent="0.25">
      <c r="C170" s="32">
        <f>MAX($C$7:C169)+1</f>
        <v>88</v>
      </c>
      <c r="D170" s="188"/>
      <c r="E170" s="86" t="s">
        <v>235</v>
      </c>
      <c r="F170" s="82" t="s">
        <v>37</v>
      </c>
      <c r="G170" s="175">
        <v>6</v>
      </c>
      <c r="H170" s="59"/>
      <c r="I170" s="89"/>
    </row>
    <row r="171" spans="3:9" x14ac:dyDescent="0.25">
      <c r="C171" s="190"/>
      <c r="D171" s="191" t="s">
        <v>236</v>
      </c>
      <c r="E171" s="192" t="s">
        <v>237</v>
      </c>
      <c r="F171" s="193"/>
      <c r="G171" s="194"/>
      <c r="H171" s="195"/>
      <c r="I171" s="72"/>
    </row>
    <row r="172" spans="3:9" ht="26.25" thickBot="1" x14ac:dyDescent="0.3">
      <c r="C172" s="32">
        <f>MAX($C$7:C171)+1</f>
        <v>89</v>
      </c>
      <c r="D172" s="196"/>
      <c r="E172" s="182" t="s">
        <v>238</v>
      </c>
      <c r="F172" s="82" t="s">
        <v>52</v>
      </c>
      <c r="G172" s="175">
        <f>18.5*2</f>
        <v>37</v>
      </c>
      <c r="H172" s="59"/>
      <c r="I172" s="89"/>
    </row>
    <row r="173" spans="3:9" ht="13.5" thickBot="1" x14ac:dyDescent="0.3">
      <c r="C173" s="186">
        <v>18</v>
      </c>
      <c r="D173" s="187"/>
      <c r="E173" s="52" t="s">
        <v>239</v>
      </c>
      <c r="F173" s="52"/>
      <c r="G173" s="52"/>
      <c r="H173" s="52"/>
      <c r="I173" s="179">
        <f>SUM(I175:I177)</f>
        <v>0</v>
      </c>
    </row>
    <row r="174" spans="3:9" x14ac:dyDescent="0.25">
      <c r="C174" s="172"/>
      <c r="D174" s="173" t="s">
        <v>240</v>
      </c>
      <c r="E174" s="174" t="s">
        <v>241</v>
      </c>
      <c r="F174" s="82"/>
      <c r="G174" s="175"/>
      <c r="H174" s="59"/>
      <c r="I174" s="72"/>
    </row>
    <row r="175" spans="3:9" ht="38.25" x14ac:dyDescent="0.25">
      <c r="C175" s="32">
        <f>MAX($C$7:C174)+1</f>
        <v>90</v>
      </c>
      <c r="D175" s="181"/>
      <c r="E175" s="182" t="s">
        <v>242</v>
      </c>
      <c r="F175" s="82" t="s">
        <v>52</v>
      </c>
      <c r="G175" s="175">
        <f>8*4</f>
        <v>32</v>
      </c>
      <c r="H175" s="59"/>
      <c r="I175" s="89"/>
    </row>
    <row r="176" spans="3:9" x14ac:dyDescent="0.25">
      <c r="C176" s="172"/>
      <c r="D176" s="173" t="s">
        <v>243</v>
      </c>
      <c r="E176" s="174" t="s">
        <v>244</v>
      </c>
      <c r="F176" s="82"/>
      <c r="G176" s="175"/>
      <c r="H176" s="59"/>
      <c r="I176" s="72"/>
    </row>
    <row r="177" spans="3:9" ht="26.25" thickBot="1" x14ac:dyDescent="0.3">
      <c r="C177" s="32">
        <f>MAX($C$7:C176)+1</f>
        <v>91</v>
      </c>
      <c r="D177" s="181"/>
      <c r="E177" s="86" t="s">
        <v>245</v>
      </c>
      <c r="F177" s="82" t="s">
        <v>52</v>
      </c>
      <c r="G177" s="175">
        <f>3*1.8+3.9*3</f>
        <v>17.100000000000001</v>
      </c>
      <c r="H177" s="59"/>
      <c r="I177" s="89"/>
    </row>
    <row r="178" spans="3:9" ht="13.5" thickBot="1" x14ac:dyDescent="0.3">
      <c r="C178" s="186">
        <v>19</v>
      </c>
      <c r="D178" s="187"/>
      <c r="E178" s="52" t="s">
        <v>246</v>
      </c>
      <c r="F178" s="52"/>
      <c r="G178" s="52"/>
      <c r="H178" s="52"/>
      <c r="I178" s="179">
        <f>SUM(I180:I185)</f>
        <v>0</v>
      </c>
    </row>
    <row r="179" spans="3:9" x14ac:dyDescent="0.25">
      <c r="C179" s="172"/>
      <c r="D179" s="173" t="s">
        <v>247</v>
      </c>
      <c r="E179" s="174" t="s">
        <v>248</v>
      </c>
      <c r="F179" s="82"/>
      <c r="G179" s="175"/>
      <c r="H179" s="59"/>
      <c r="I179" s="72"/>
    </row>
    <row r="180" spans="3:9" ht="25.5" x14ac:dyDescent="0.25">
      <c r="C180" s="32">
        <f>MAX($C$7:C179)+1</f>
        <v>92</v>
      </c>
      <c r="D180" s="181"/>
      <c r="E180" s="86" t="s">
        <v>249</v>
      </c>
      <c r="F180" s="82" t="s">
        <v>52</v>
      </c>
      <c r="G180" s="175">
        <f>14.6*2+4*4</f>
        <v>45.2</v>
      </c>
      <c r="H180" s="59"/>
      <c r="I180" s="89"/>
    </row>
    <row r="181" spans="3:9" x14ac:dyDescent="0.25">
      <c r="C181" s="172"/>
      <c r="D181" s="173" t="s">
        <v>250</v>
      </c>
      <c r="E181" s="174" t="s">
        <v>251</v>
      </c>
      <c r="F181" s="82"/>
      <c r="G181" s="175"/>
      <c r="H181" s="59"/>
      <c r="I181" s="72"/>
    </row>
    <row r="182" spans="3:9" x14ac:dyDescent="0.25">
      <c r="C182" s="32">
        <f>MAX($C$7:C181)+1</f>
        <v>93</v>
      </c>
      <c r="D182" s="184"/>
      <c r="E182" s="176" t="s">
        <v>252</v>
      </c>
      <c r="F182" s="140" t="s">
        <v>253</v>
      </c>
      <c r="G182" s="175">
        <f>14.6*2+4*4</f>
        <v>45.2</v>
      </c>
      <c r="H182" s="59"/>
      <c r="I182" s="89"/>
    </row>
    <row r="183" spans="3:9" x14ac:dyDescent="0.25">
      <c r="C183" s="32">
        <f>MAX($C$7:C182)+1</f>
        <v>94</v>
      </c>
      <c r="D183" s="185"/>
      <c r="E183" s="176" t="s">
        <v>254</v>
      </c>
      <c r="F183" s="140" t="s">
        <v>253</v>
      </c>
      <c r="G183" s="175">
        <f>3+2.5</f>
        <v>5.5</v>
      </c>
      <c r="H183" s="59"/>
      <c r="I183" s="89"/>
    </row>
    <row r="184" spans="3:9" x14ac:dyDescent="0.25">
      <c r="C184" s="172"/>
      <c r="D184" s="173" t="s">
        <v>255</v>
      </c>
      <c r="E184" s="174" t="s">
        <v>256</v>
      </c>
      <c r="F184" s="82"/>
      <c r="G184" s="175"/>
      <c r="H184" s="59"/>
      <c r="I184" s="72"/>
    </row>
    <row r="185" spans="3:9" ht="13.5" thickBot="1" x14ac:dyDescent="0.3">
      <c r="C185" s="32">
        <f>MAX($C$7:C184)+1</f>
        <v>95</v>
      </c>
      <c r="D185" s="181"/>
      <c r="E185" s="86" t="s">
        <v>257</v>
      </c>
      <c r="F185" s="82" t="s">
        <v>52</v>
      </c>
      <c r="G185" s="175">
        <f>14.6*2+4*4</f>
        <v>45.2</v>
      </c>
      <c r="H185" s="59"/>
      <c r="I185" s="89"/>
    </row>
    <row r="186" spans="3:9" ht="13.5" thickBot="1" x14ac:dyDescent="0.3">
      <c r="C186" s="186">
        <v>20</v>
      </c>
      <c r="D186" s="187"/>
      <c r="E186" s="52" t="s">
        <v>258</v>
      </c>
      <c r="F186" s="52"/>
      <c r="G186" s="52"/>
      <c r="H186" s="52"/>
      <c r="I186" s="179">
        <f>SUM(I188:I197)</f>
        <v>0</v>
      </c>
    </row>
    <row r="187" spans="3:9" x14ac:dyDescent="0.25">
      <c r="C187" s="172"/>
      <c r="D187" s="173" t="s">
        <v>259</v>
      </c>
      <c r="E187" s="174" t="s">
        <v>260</v>
      </c>
      <c r="F187" s="82"/>
      <c r="G187" s="175"/>
      <c r="H187" s="59"/>
      <c r="I187" s="72"/>
    </row>
    <row r="188" spans="3:9" x14ac:dyDescent="0.25">
      <c r="C188" s="32">
        <f>MAX($C$7:C187)+1</f>
        <v>96</v>
      </c>
      <c r="D188" s="181"/>
      <c r="E188" s="86" t="s">
        <v>261</v>
      </c>
      <c r="F188" s="82" t="s">
        <v>52</v>
      </c>
      <c r="G188" s="175">
        <f>14.6*2+4*4</f>
        <v>45.2</v>
      </c>
      <c r="H188" s="59"/>
      <c r="I188" s="89"/>
    </row>
    <row r="189" spans="3:9" x14ac:dyDescent="0.25">
      <c r="C189" s="172"/>
      <c r="D189" s="173" t="s">
        <v>262</v>
      </c>
      <c r="E189" s="174" t="s">
        <v>263</v>
      </c>
      <c r="F189" s="82"/>
      <c r="G189" s="175"/>
      <c r="H189" s="59"/>
      <c r="I189" s="72"/>
    </row>
    <row r="190" spans="3:9" ht="25.5" x14ac:dyDescent="0.25">
      <c r="C190" s="32">
        <f>MAX($C$7:C189)+1</f>
        <v>97</v>
      </c>
      <c r="D190" s="181"/>
      <c r="E190" s="86" t="s">
        <v>264</v>
      </c>
      <c r="F190" s="82" t="s">
        <v>43</v>
      </c>
      <c r="G190" s="175">
        <f>41.5*1.2</f>
        <v>49.8</v>
      </c>
      <c r="H190" s="59"/>
      <c r="I190" s="89"/>
    </row>
    <row r="191" spans="3:9" x14ac:dyDescent="0.25">
      <c r="C191" s="172"/>
      <c r="D191" s="173" t="s">
        <v>265</v>
      </c>
      <c r="E191" s="174" t="s">
        <v>266</v>
      </c>
      <c r="F191" s="82"/>
      <c r="G191" s="175"/>
      <c r="H191" s="59"/>
      <c r="I191" s="72"/>
    </row>
    <row r="192" spans="3:9" ht="38.25" x14ac:dyDescent="0.25">
      <c r="C192" s="32">
        <f>MAX($C$7:C191)+1</f>
        <v>98</v>
      </c>
      <c r="D192" s="181"/>
      <c r="E192" s="182" t="s">
        <v>267</v>
      </c>
      <c r="F192" s="82" t="s">
        <v>52</v>
      </c>
      <c r="G192" s="175">
        <f>3.3+2.7</f>
        <v>6</v>
      </c>
      <c r="H192" s="59"/>
      <c r="I192" s="89"/>
    </row>
    <row r="193" spans="3:9" ht="25.5" x14ac:dyDescent="0.25">
      <c r="C193" s="172"/>
      <c r="D193" s="173" t="s">
        <v>268</v>
      </c>
      <c r="E193" s="174" t="s">
        <v>269</v>
      </c>
      <c r="F193" s="82"/>
      <c r="G193" s="175"/>
      <c r="H193" s="59"/>
      <c r="I193" s="72"/>
    </row>
    <row r="194" spans="3:9" ht="25.5" x14ac:dyDescent="0.25">
      <c r="C194" s="32">
        <f>MAX($C$7:C193)+1</f>
        <v>99</v>
      </c>
      <c r="D194" s="184"/>
      <c r="E194" s="87" t="s">
        <v>270</v>
      </c>
      <c r="F194" s="82" t="s">
        <v>43</v>
      </c>
      <c r="G194" s="175">
        <f>16.1*12.98</f>
        <v>208.97800000000004</v>
      </c>
      <c r="H194" s="59"/>
      <c r="I194" s="89"/>
    </row>
    <row r="195" spans="3:9" ht="25.5" x14ac:dyDescent="0.25">
      <c r="C195" s="32">
        <f>MAX($C$7:C194)+1</f>
        <v>100</v>
      </c>
      <c r="D195" s="185"/>
      <c r="E195" s="87" t="s">
        <v>271</v>
      </c>
      <c r="F195" s="82" t="s">
        <v>43</v>
      </c>
      <c r="G195" s="175">
        <f>3.6*4+1.13*14.78*2</f>
        <v>47.802799999999991</v>
      </c>
      <c r="H195" s="59"/>
      <c r="I195" s="89"/>
    </row>
    <row r="196" spans="3:9" x14ac:dyDescent="0.25">
      <c r="C196" s="172"/>
      <c r="D196" s="173" t="s">
        <v>272</v>
      </c>
      <c r="E196" s="197" t="s">
        <v>273</v>
      </c>
      <c r="F196" s="82"/>
      <c r="G196" s="175"/>
      <c r="H196" s="59"/>
      <c r="I196" s="72"/>
    </row>
    <row r="197" spans="3:9" ht="13.5" thickBot="1" x14ac:dyDescent="0.3">
      <c r="C197" s="32">
        <f>MAX($C$7:C196)+1</f>
        <v>101</v>
      </c>
      <c r="D197" s="181"/>
      <c r="E197" s="198" t="s">
        <v>274</v>
      </c>
      <c r="F197" s="140" t="s">
        <v>37</v>
      </c>
      <c r="G197" s="199">
        <v>12</v>
      </c>
      <c r="H197" s="59"/>
      <c r="I197" s="89"/>
    </row>
    <row r="198" spans="3:9" ht="34.5" customHeight="1" thickTop="1" thickBot="1" x14ac:dyDescent="0.3">
      <c r="C198" s="268" t="s">
        <v>153</v>
      </c>
      <c r="D198" s="269"/>
      <c r="E198" s="269"/>
      <c r="F198" s="269"/>
      <c r="G198" s="269"/>
      <c r="H198" s="269"/>
      <c r="I198" s="200">
        <f>I105+I117+I127+I133+I150+I153+I165+I173+I178+I186</f>
        <v>0</v>
      </c>
    </row>
    <row r="199" spans="3:9" ht="30.6" customHeight="1" thickTop="1" thickBot="1" x14ac:dyDescent="0.3">
      <c r="C199" s="257" t="s">
        <v>275</v>
      </c>
      <c r="D199" s="258"/>
      <c r="E199" s="258"/>
      <c r="F199" s="258"/>
      <c r="G199" s="258"/>
      <c r="H199" s="258"/>
      <c r="I199" s="259"/>
    </row>
    <row r="200" spans="3:9" ht="13.5" thickTop="1" x14ac:dyDescent="0.25">
      <c r="C200" s="106"/>
      <c r="D200" s="173" t="s">
        <v>276</v>
      </c>
      <c r="E200" s="201" t="s">
        <v>277</v>
      </c>
      <c r="F200" s="177"/>
      <c r="G200" s="175"/>
      <c r="H200" s="178"/>
      <c r="I200" s="89"/>
    </row>
    <row r="201" spans="3:9" ht="25.5" x14ac:dyDescent="0.25">
      <c r="C201" s="32">
        <f>MAX($C$7:C200)+1</f>
        <v>102</v>
      </c>
      <c r="D201" s="202"/>
      <c r="E201" s="81" t="s">
        <v>278</v>
      </c>
      <c r="F201" s="177" t="s">
        <v>279</v>
      </c>
      <c r="G201" s="175">
        <v>150.02000000000001</v>
      </c>
      <c r="H201" s="203"/>
      <c r="I201" s="204"/>
    </row>
    <row r="202" spans="3:9" ht="38.25" x14ac:dyDescent="0.25">
      <c r="C202" s="32">
        <f>MAX($C$8:C201)+1</f>
        <v>103</v>
      </c>
      <c r="D202" s="205"/>
      <c r="E202" s="81" t="s">
        <v>280</v>
      </c>
      <c r="F202" s="177" t="s">
        <v>279</v>
      </c>
      <c r="G202" s="175">
        <v>150.02000000000001</v>
      </c>
      <c r="H202" s="203"/>
      <c r="I202" s="204"/>
    </row>
    <row r="203" spans="3:9" ht="25.5" x14ac:dyDescent="0.25">
      <c r="C203" s="32">
        <f>MAX($C$8:C202)+1</f>
        <v>104</v>
      </c>
      <c r="D203" s="205"/>
      <c r="E203" s="81" t="s">
        <v>281</v>
      </c>
      <c r="F203" s="177" t="s">
        <v>37</v>
      </c>
      <c r="G203" s="175">
        <v>6</v>
      </c>
      <c r="H203" s="203"/>
      <c r="I203" s="204"/>
    </row>
    <row r="204" spans="3:9" ht="51" x14ac:dyDescent="0.25">
      <c r="C204" s="32">
        <f>MAX($C$8:C203)+1</f>
        <v>105</v>
      </c>
      <c r="D204" s="205"/>
      <c r="E204" s="81" t="s">
        <v>282</v>
      </c>
      <c r="F204" s="177" t="s">
        <v>37</v>
      </c>
      <c r="G204" s="175">
        <v>6</v>
      </c>
      <c r="H204" s="203"/>
      <c r="I204" s="204"/>
    </row>
    <row r="205" spans="3:9" ht="25.5" x14ac:dyDescent="0.25">
      <c r="C205" s="32">
        <f>MAX($C$8:C204)+1</f>
        <v>106</v>
      </c>
      <c r="D205" s="205"/>
      <c r="E205" s="81" t="s">
        <v>283</v>
      </c>
      <c r="F205" s="177" t="s">
        <v>37</v>
      </c>
      <c r="G205" s="175">
        <v>6</v>
      </c>
      <c r="H205" s="203"/>
      <c r="I205" s="204"/>
    </row>
    <row r="206" spans="3:9" ht="38.25" x14ac:dyDescent="0.25">
      <c r="C206" s="32">
        <f>MAX($C$8:C205)+1</f>
        <v>107</v>
      </c>
      <c r="D206" s="205"/>
      <c r="E206" s="81" t="s">
        <v>284</v>
      </c>
      <c r="F206" s="177" t="s">
        <v>52</v>
      </c>
      <c r="G206" s="175">
        <v>127</v>
      </c>
      <c r="H206" s="203"/>
      <c r="I206" s="204"/>
    </row>
    <row r="207" spans="3:9" ht="25.5" x14ac:dyDescent="0.25">
      <c r="C207" s="32">
        <f>MAX($C$8:C206)+1</f>
        <v>108</v>
      </c>
      <c r="D207" s="205"/>
      <c r="E207" s="81" t="s">
        <v>285</v>
      </c>
      <c r="F207" s="177" t="s">
        <v>52</v>
      </c>
      <c r="G207" s="175">
        <v>127</v>
      </c>
      <c r="H207" s="203"/>
      <c r="I207" s="204"/>
    </row>
    <row r="208" spans="3:9" ht="25.5" x14ac:dyDescent="0.25">
      <c r="C208" s="32">
        <f>MAX($C$8:C207)+1</f>
        <v>109</v>
      </c>
      <c r="D208" s="205"/>
      <c r="E208" s="81" t="s">
        <v>286</v>
      </c>
      <c r="F208" s="177" t="s">
        <v>52</v>
      </c>
      <c r="G208" s="175">
        <v>127</v>
      </c>
      <c r="H208" s="203"/>
      <c r="I208" s="204"/>
    </row>
    <row r="209" spans="3:9" ht="38.25" x14ac:dyDescent="0.25">
      <c r="C209" s="32">
        <f>MAX($C$8:C208)+1</f>
        <v>110</v>
      </c>
      <c r="D209" s="205"/>
      <c r="E209" s="81" t="s">
        <v>287</v>
      </c>
      <c r="F209" s="177" t="s">
        <v>52</v>
      </c>
      <c r="G209" s="175">
        <v>44.7</v>
      </c>
      <c r="H209" s="203"/>
      <c r="I209" s="204"/>
    </row>
    <row r="210" spans="3:9" ht="25.5" x14ac:dyDescent="0.25">
      <c r="C210" s="32">
        <f>MAX($C$8:C209)+1</f>
        <v>111</v>
      </c>
      <c r="D210" s="205"/>
      <c r="E210" s="81" t="s">
        <v>288</v>
      </c>
      <c r="F210" s="177" t="s">
        <v>52</v>
      </c>
      <c r="G210" s="175">
        <v>44.7</v>
      </c>
      <c r="H210" s="203"/>
      <c r="I210" s="204"/>
    </row>
    <row r="211" spans="3:9" ht="25.5" x14ac:dyDescent="0.25">
      <c r="C211" s="32">
        <f>MAX($C$8:C210)+1</f>
        <v>112</v>
      </c>
      <c r="D211" s="205"/>
      <c r="E211" s="81" t="s">
        <v>289</v>
      </c>
      <c r="F211" s="177" t="s">
        <v>52</v>
      </c>
      <c r="G211" s="175">
        <v>44.7</v>
      </c>
      <c r="H211" s="203"/>
      <c r="I211" s="204"/>
    </row>
    <row r="212" spans="3:9" ht="25.5" x14ac:dyDescent="0.25">
      <c r="C212" s="32">
        <f>MAX($C$8:C211)+1</f>
        <v>113</v>
      </c>
      <c r="D212" s="205"/>
      <c r="E212" s="81" t="s">
        <v>290</v>
      </c>
      <c r="F212" s="177" t="s">
        <v>279</v>
      </c>
      <c r="G212" s="175">
        <v>127.5</v>
      </c>
      <c r="H212" s="203"/>
      <c r="I212" s="204"/>
    </row>
    <row r="213" spans="3:9" ht="25.5" x14ac:dyDescent="0.25">
      <c r="C213" s="32">
        <f>MAX($C$8:C212)+1</f>
        <v>114</v>
      </c>
      <c r="D213" s="205"/>
      <c r="E213" s="81" t="s">
        <v>291</v>
      </c>
      <c r="F213" s="177" t="s">
        <v>279</v>
      </c>
      <c r="G213" s="175">
        <v>13.74</v>
      </c>
      <c r="H213" s="203"/>
      <c r="I213" s="204"/>
    </row>
    <row r="214" spans="3:9" ht="26.25" thickBot="1" x14ac:dyDescent="0.3">
      <c r="C214" s="32">
        <f>MAX($C$8:C213)+1</f>
        <v>115</v>
      </c>
      <c r="D214" s="205"/>
      <c r="E214" s="206" t="s">
        <v>292</v>
      </c>
      <c r="F214" s="139" t="s">
        <v>75</v>
      </c>
      <c r="G214" s="199">
        <v>24</v>
      </c>
      <c r="H214" s="199"/>
      <c r="I214" s="204"/>
    </row>
    <row r="215" spans="3:9" ht="36.6" customHeight="1" thickTop="1" thickBot="1" x14ac:dyDescent="0.3">
      <c r="C215" s="268" t="s">
        <v>153</v>
      </c>
      <c r="D215" s="269"/>
      <c r="E215" s="269"/>
      <c r="F215" s="269"/>
      <c r="G215" s="269"/>
      <c r="H215" s="269"/>
      <c r="I215" s="200">
        <f>SUM(I201:I214)</f>
        <v>0</v>
      </c>
    </row>
    <row r="216" spans="3:9" ht="31.5" customHeight="1" thickTop="1" thickBot="1" x14ac:dyDescent="0.3">
      <c r="C216" s="257" t="s">
        <v>293</v>
      </c>
      <c r="D216" s="258"/>
      <c r="E216" s="258"/>
      <c r="F216" s="258"/>
      <c r="G216" s="258"/>
      <c r="H216" s="258"/>
      <c r="I216" s="259"/>
    </row>
    <row r="217" spans="3:9" ht="24" customHeight="1" thickTop="1" thickBot="1" x14ac:dyDescent="0.3">
      <c r="C217" s="47">
        <v>21</v>
      </c>
      <c r="D217" s="207" t="s">
        <v>28</v>
      </c>
      <c r="E217" s="49" t="s">
        <v>29</v>
      </c>
      <c r="F217" s="50"/>
      <c r="G217" s="51"/>
      <c r="H217" s="52"/>
      <c r="I217" s="53">
        <f>SUM(I218:I230)</f>
        <v>0</v>
      </c>
    </row>
    <row r="218" spans="3:9" x14ac:dyDescent="0.25">
      <c r="C218" s="55"/>
      <c r="D218" s="56" t="s">
        <v>30</v>
      </c>
      <c r="E218" s="57" t="s">
        <v>31</v>
      </c>
      <c r="F218" s="58"/>
      <c r="G218" s="59">
        <v>0</v>
      </c>
      <c r="H218" s="60"/>
      <c r="I218" s="61">
        <v>0</v>
      </c>
    </row>
    <row r="219" spans="3:9" ht="25.5" x14ac:dyDescent="0.25">
      <c r="C219" s="32">
        <f>MAX($C$8:C218)+1</f>
        <v>116</v>
      </c>
      <c r="D219" s="62"/>
      <c r="E219" s="63" t="s">
        <v>294</v>
      </c>
      <c r="F219" s="77" t="s">
        <v>33</v>
      </c>
      <c r="G219" s="65">
        <v>0.114</v>
      </c>
      <c r="H219" s="59"/>
      <c r="I219" s="66"/>
    </row>
    <row r="220" spans="3:9" x14ac:dyDescent="0.25">
      <c r="C220" s="67"/>
      <c r="D220" s="68" t="s">
        <v>40</v>
      </c>
      <c r="E220" s="78" t="s">
        <v>41</v>
      </c>
      <c r="F220" s="79"/>
      <c r="G220" s="59">
        <v>0</v>
      </c>
      <c r="H220" s="71"/>
      <c r="I220" s="72"/>
    </row>
    <row r="221" spans="3:9" ht="14.25" x14ac:dyDescent="0.25">
      <c r="C221" s="32">
        <f>MAX($C$8:C220)+1</f>
        <v>117</v>
      </c>
      <c r="D221" s="80"/>
      <c r="E221" s="81" t="s">
        <v>42</v>
      </c>
      <c r="F221" s="82" t="s">
        <v>43</v>
      </c>
      <c r="G221" s="59">
        <v>1003</v>
      </c>
      <c r="H221" s="59"/>
      <c r="I221" s="66"/>
    </row>
    <row r="222" spans="3:9" x14ac:dyDescent="0.25">
      <c r="C222" s="67"/>
      <c r="D222" s="83" t="s">
        <v>49</v>
      </c>
      <c r="E222" s="84" t="s">
        <v>44</v>
      </c>
      <c r="F222" s="85"/>
      <c r="G222" s="59">
        <v>0</v>
      </c>
      <c r="H222" s="71"/>
      <c r="I222" s="72"/>
    </row>
    <row r="223" spans="3:9" ht="51" x14ac:dyDescent="0.25">
      <c r="C223" s="32">
        <f>MAX($C$8:C222)+1</f>
        <v>118</v>
      </c>
      <c r="D223" s="62"/>
      <c r="E223" s="86" t="s">
        <v>295</v>
      </c>
      <c r="F223" s="82" t="s">
        <v>43</v>
      </c>
      <c r="G223" s="59">
        <v>302.5</v>
      </c>
      <c r="H223" s="59"/>
      <c r="I223" s="66"/>
    </row>
    <row r="224" spans="3:9" ht="38.25" x14ac:dyDescent="0.25">
      <c r="C224" s="32">
        <f>MAX($C$8:C223)+1</f>
        <v>119</v>
      </c>
      <c r="D224" s="62"/>
      <c r="E224" s="86" t="s">
        <v>296</v>
      </c>
      <c r="F224" s="82" t="s">
        <v>43</v>
      </c>
      <c r="G224" s="59">
        <v>302.5</v>
      </c>
      <c r="H224" s="59"/>
      <c r="I224" s="72"/>
    </row>
    <row r="225" spans="3:9" ht="14.25" x14ac:dyDescent="0.25">
      <c r="C225" s="32">
        <f>MAX($C$8:C224)+1</f>
        <v>120</v>
      </c>
      <c r="D225" s="62"/>
      <c r="E225" s="86" t="s">
        <v>297</v>
      </c>
      <c r="F225" s="82" t="s">
        <v>43</v>
      </c>
      <c r="G225" s="59">
        <v>137.19999999999999</v>
      </c>
      <c r="H225" s="59"/>
      <c r="I225" s="72"/>
    </row>
    <row r="226" spans="3:9" ht="25.5" x14ac:dyDescent="0.25">
      <c r="C226" s="32">
        <f>MAX($C$8:C225)+1</f>
        <v>121</v>
      </c>
      <c r="D226" s="62"/>
      <c r="E226" s="87" t="s">
        <v>298</v>
      </c>
      <c r="F226" s="88" t="s">
        <v>52</v>
      </c>
      <c r="G226" s="59">
        <v>130.5</v>
      </c>
      <c r="H226" s="59"/>
      <c r="I226" s="66"/>
    </row>
    <row r="227" spans="3:9" x14ac:dyDescent="0.25">
      <c r="C227" s="32">
        <f>MAX($C$8:C226)+1</f>
        <v>122</v>
      </c>
      <c r="D227" s="62"/>
      <c r="E227" s="87" t="s">
        <v>299</v>
      </c>
      <c r="F227" s="88" t="s">
        <v>52</v>
      </c>
      <c r="G227" s="59">
        <v>95</v>
      </c>
      <c r="H227" s="59"/>
      <c r="I227" s="89"/>
    </row>
    <row r="228" spans="3:9" x14ac:dyDescent="0.25">
      <c r="C228" s="32">
        <f>MAX($C$8:C227)+1</f>
        <v>123</v>
      </c>
      <c r="D228" s="62"/>
      <c r="E228" s="87" t="s">
        <v>300</v>
      </c>
      <c r="F228" s="88" t="s">
        <v>52</v>
      </c>
      <c r="G228" s="59">
        <v>74.599999999999994</v>
      </c>
      <c r="H228" s="59"/>
      <c r="I228" s="89"/>
    </row>
    <row r="229" spans="3:9" x14ac:dyDescent="0.25">
      <c r="C229" s="32"/>
      <c r="D229" s="83" t="s">
        <v>301</v>
      </c>
      <c r="E229" s="84" t="s">
        <v>302</v>
      </c>
      <c r="F229" s="208"/>
      <c r="G229" s="209"/>
      <c r="H229" s="90"/>
      <c r="I229" s="72"/>
    </row>
    <row r="230" spans="3:9" ht="26.25" thickBot="1" x14ac:dyDescent="0.3">
      <c r="C230" s="32">
        <f>MAX($C$8:C229)+1</f>
        <v>124</v>
      </c>
      <c r="D230" s="62"/>
      <c r="E230" s="81" t="s">
        <v>303</v>
      </c>
      <c r="F230" s="177" t="s">
        <v>304</v>
      </c>
      <c r="G230" s="175">
        <v>1</v>
      </c>
      <c r="H230" s="59"/>
      <c r="I230" s="89"/>
    </row>
    <row r="231" spans="3:9" ht="13.5" thickBot="1" x14ac:dyDescent="0.3">
      <c r="C231" s="91">
        <v>22</v>
      </c>
      <c r="D231" s="92" t="s">
        <v>58</v>
      </c>
      <c r="E231" s="270" t="s">
        <v>59</v>
      </c>
      <c r="F231" s="271"/>
      <c r="G231" s="271"/>
      <c r="H231" s="272"/>
      <c r="I231" s="53">
        <f>SUM(I232:I235)</f>
        <v>0</v>
      </c>
    </row>
    <row r="232" spans="3:9" x14ac:dyDescent="0.25">
      <c r="C232" s="67"/>
      <c r="D232" s="93" t="s">
        <v>60</v>
      </c>
      <c r="E232" s="94" t="s">
        <v>61</v>
      </c>
      <c r="F232" s="58"/>
      <c r="G232" s="95">
        <v>0</v>
      </c>
      <c r="H232" s="60"/>
      <c r="I232" s="61">
        <v>0</v>
      </c>
    </row>
    <row r="233" spans="3:9" ht="14.25" x14ac:dyDescent="0.25">
      <c r="C233" s="32">
        <f>MAX($C$8:C232)+1</f>
        <v>125</v>
      </c>
      <c r="D233" s="96"/>
      <c r="E233" s="97" t="s">
        <v>305</v>
      </c>
      <c r="F233" s="77" t="s">
        <v>56</v>
      </c>
      <c r="G233" s="59">
        <f>2.1*((12+14.3+12.6)/2+8.2)/2*29+2.1*37.5*(14+8)/2+22*2/2*2/2</f>
        <v>1730.1925000000001</v>
      </c>
      <c r="H233" s="59"/>
      <c r="I233" s="66"/>
    </row>
    <row r="234" spans="3:9" x14ac:dyDescent="0.25">
      <c r="C234" s="67"/>
      <c r="D234" s="100" t="s">
        <v>64</v>
      </c>
      <c r="E234" s="101" t="s">
        <v>65</v>
      </c>
      <c r="F234" s="210"/>
      <c r="G234" s="59">
        <v>0</v>
      </c>
      <c r="H234" s="71"/>
      <c r="I234" s="72"/>
    </row>
    <row r="235" spans="3:9" ht="39" thickBot="1" x14ac:dyDescent="0.3">
      <c r="C235" s="32">
        <f>MAX($C$8:C234)+1</f>
        <v>126</v>
      </c>
      <c r="D235" s="96"/>
      <c r="E235" s="87" t="s">
        <v>306</v>
      </c>
      <c r="F235" s="82" t="s">
        <v>56</v>
      </c>
      <c r="G235" s="59">
        <f>G233</f>
        <v>1730.1925000000001</v>
      </c>
      <c r="H235" s="59"/>
      <c r="I235" s="66"/>
    </row>
    <row r="236" spans="3:9" ht="13.5" thickBot="1" x14ac:dyDescent="0.3">
      <c r="C236" s="91">
        <v>23</v>
      </c>
      <c r="D236" s="92" t="s">
        <v>68</v>
      </c>
      <c r="E236" s="270" t="s">
        <v>69</v>
      </c>
      <c r="F236" s="271"/>
      <c r="G236" s="271"/>
      <c r="H236" s="272"/>
      <c r="I236" s="53">
        <f>SUM(I237:I239)</f>
        <v>0</v>
      </c>
    </row>
    <row r="237" spans="3:9" x14ac:dyDescent="0.25">
      <c r="C237" s="106"/>
      <c r="D237" s="100" t="s">
        <v>70</v>
      </c>
      <c r="E237" s="101" t="s">
        <v>71</v>
      </c>
      <c r="F237" s="210"/>
      <c r="G237" s="59">
        <v>0</v>
      </c>
      <c r="H237" s="71"/>
      <c r="I237" s="72"/>
    </row>
    <row r="238" spans="3:9" x14ac:dyDescent="0.25">
      <c r="C238" s="32">
        <f>MAX($C$8:C237)+1</f>
        <v>127</v>
      </c>
      <c r="D238" s="107"/>
      <c r="E238" s="97" t="s">
        <v>307</v>
      </c>
      <c r="F238" s="98" t="s">
        <v>52</v>
      </c>
      <c r="G238" s="59">
        <v>11</v>
      </c>
      <c r="H238" s="59"/>
      <c r="I238" s="66"/>
    </row>
    <row r="239" spans="3:9" ht="39" thickBot="1" x14ac:dyDescent="0.3">
      <c r="C239" s="32">
        <f>MAX($C$8:C238)+1</f>
        <v>128</v>
      </c>
      <c r="D239" s="107"/>
      <c r="E239" s="97" t="s">
        <v>308</v>
      </c>
      <c r="F239" s="98" t="s">
        <v>37</v>
      </c>
      <c r="G239" s="59">
        <v>1</v>
      </c>
      <c r="H239" s="59"/>
      <c r="I239" s="105"/>
    </row>
    <row r="240" spans="3:9" ht="13.5" thickBot="1" x14ac:dyDescent="0.3">
      <c r="C240" s="114">
        <v>24</v>
      </c>
      <c r="D240" s="92" t="s">
        <v>81</v>
      </c>
      <c r="E240" s="264" t="s">
        <v>82</v>
      </c>
      <c r="F240" s="253"/>
      <c r="G240" s="253"/>
      <c r="H240" s="254"/>
      <c r="I240" s="53">
        <f>SUM(I241:I248)</f>
        <v>0</v>
      </c>
    </row>
    <row r="241" spans="3:9" ht="25.5" x14ac:dyDescent="0.25">
      <c r="C241" s="115"/>
      <c r="D241" s="116" t="s">
        <v>83</v>
      </c>
      <c r="E241" s="117" t="s">
        <v>84</v>
      </c>
      <c r="F241" s="118"/>
      <c r="G241" s="95">
        <v>0</v>
      </c>
      <c r="H241" s="60"/>
      <c r="I241" s="61"/>
    </row>
    <row r="242" spans="3:9" ht="25.5" x14ac:dyDescent="0.25">
      <c r="C242" s="32">
        <f>MAX($C$8:C241)+1</f>
        <v>129</v>
      </c>
      <c r="D242" s="107"/>
      <c r="E242" s="119" t="s">
        <v>85</v>
      </c>
      <c r="F242" s="120" t="s">
        <v>43</v>
      </c>
      <c r="G242" s="121">
        <v>302.5</v>
      </c>
      <c r="H242" s="59"/>
      <c r="I242" s="89"/>
    </row>
    <row r="243" spans="3:9" ht="25.5" x14ac:dyDescent="0.25">
      <c r="C243" s="32">
        <f>MAX($C$8:C242)+1</f>
        <v>130</v>
      </c>
      <c r="D243" s="107"/>
      <c r="E243" s="119" t="s">
        <v>309</v>
      </c>
      <c r="F243" s="120" t="s">
        <v>43</v>
      </c>
      <c r="G243" s="59">
        <v>137.19999999999999</v>
      </c>
      <c r="H243" s="59"/>
      <c r="I243" s="89"/>
    </row>
    <row r="244" spans="3:9" ht="25.5" x14ac:dyDescent="0.25">
      <c r="C244" s="115"/>
      <c r="D244" s="116" t="s">
        <v>93</v>
      </c>
      <c r="E244" s="123" t="s">
        <v>94</v>
      </c>
      <c r="F244" s="59">
        <v>0</v>
      </c>
      <c r="G244" s="59">
        <v>0</v>
      </c>
      <c r="H244" s="71"/>
      <c r="I244" s="72"/>
    </row>
    <row r="245" spans="3:9" ht="38.25" x14ac:dyDescent="0.25">
      <c r="C245" s="32">
        <f>MAX($C$8:C244)+1</f>
        <v>131</v>
      </c>
      <c r="D245" s="127"/>
      <c r="E245" s="119" t="s">
        <v>95</v>
      </c>
      <c r="F245" s="120" t="s">
        <v>43</v>
      </c>
      <c r="G245" s="121">
        <v>302.5</v>
      </c>
      <c r="H245" s="59"/>
      <c r="I245" s="89"/>
    </row>
    <row r="246" spans="3:9" ht="38.25" x14ac:dyDescent="0.25">
      <c r="C246" s="32">
        <f>MAX($C$8:C245)+1</f>
        <v>132</v>
      </c>
      <c r="D246" s="128"/>
      <c r="E246" s="119" t="s">
        <v>310</v>
      </c>
      <c r="F246" s="120" t="s">
        <v>43</v>
      </c>
      <c r="G246" s="59">
        <v>137.19999999999999</v>
      </c>
      <c r="H246" s="59"/>
      <c r="I246" s="89"/>
    </row>
    <row r="247" spans="3:9" x14ac:dyDescent="0.25">
      <c r="C247" s="115"/>
      <c r="D247" s="116" t="s">
        <v>98</v>
      </c>
      <c r="E247" s="123" t="s">
        <v>99</v>
      </c>
      <c r="F247" s="118"/>
      <c r="G247" s="59">
        <v>0</v>
      </c>
      <c r="H247" s="71"/>
      <c r="I247" s="72"/>
    </row>
    <row r="248" spans="3:9" ht="51.75" thickBot="1" x14ac:dyDescent="0.3">
      <c r="C248" s="32">
        <f>MAX($C$8:C247)+1</f>
        <v>133</v>
      </c>
      <c r="D248" s="124"/>
      <c r="E248" s="129" t="s">
        <v>100</v>
      </c>
      <c r="F248" s="120" t="s">
        <v>43</v>
      </c>
      <c r="G248" s="121">
        <v>302.5</v>
      </c>
      <c r="H248" s="130"/>
      <c r="I248" s="89"/>
    </row>
    <row r="249" spans="3:9" ht="13.5" thickBot="1" x14ac:dyDescent="0.3">
      <c r="C249" s="131">
        <v>25</v>
      </c>
      <c r="D249" s="92" t="s">
        <v>101</v>
      </c>
      <c r="E249" s="264" t="s">
        <v>102</v>
      </c>
      <c r="F249" s="253"/>
      <c r="G249" s="253"/>
      <c r="H249" s="254"/>
      <c r="I249" s="53">
        <f>SUM(I251:I255)</f>
        <v>0</v>
      </c>
    </row>
    <row r="250" spans="3:9" x14ac:dyDescent="0.25">
      <c r="C250" s="132"/>
      <c r="D250" s="116" t="s">
        <v>103</v>
      </c>
      <c r="E250" s="117" t="s">
        <v>104</v>
      </c>
      <c r="F250" s="118"/>
      <c r="G250" s="95">
        <v>0</v>
      </c>
      <c r="H250" s="60"/>
      <c r="I250" s="61">
        <v>0</v>
      </c>
    </row>
    <row r="251" spans="3:9" ht="25.5" x14ac:dyDescent="0.25">
      <c r="C251" s="32">
        <f>MAX($C$8:C250)+1</f>
        <v>134</v>
      </c>
      <c r="D251" s="133"/>
      <c r="E251" s="134" t="s">
        <v>311</v>
      </c>
      <c r="F251" s="82" t="s">
        <v>43</v>
      </c>
      <c r="G251" s="59">
        <v>137.19999999999999</v>
      </c>
      <c r="H251" s="59"/>
      <c r="I251" s="72"/>
    </row>
    <row r="252" spans="3:9" x14ac:dyDescent="0.25">
      <c r="C252" s="115"/>
      <c r="D252" s="116" t="s">
        <v>312</v>
      </c>
      <c r="E252" s="136" t="s">
        <v>108</v>
      </c>
      <c r="F252" s="118"/>
      <c r="G252" s="95">
        <v>0</v>
      </c>
      <c r="H252" s="60"/>
      <c r="I252" s="61"/>
    </row>
    <row r="253" spans="3:9" ht="51" x14ac:dyDescent="0.25">
      <c r="C253" s="32">
        <f>MAX($C$8:C252)+1</f>
        <v>135</v>
      </c>
      <c r="D253" s="133"/>
      <c r="E253" s="137" t="s">
        <v>109</v>
      </c>
      <c r="F253" s="82" t="s">
        <v>43</v>
      </c>
      <c r="G253" s="121">
        <v>302.5</v>
      </c>
      <c r="H253" s="59"/>
      <c r="I253" s="89"/>
    </row>
    <row r="254" spans="3:9" x14ac:dyDescent="0.25">
      <c r="C254" s="115"/>
      <c r="D254" s="116" t="s">
        <v>110</v>
      </c>
      <c r="E254" s="138" t="s">
        <v>313</v>
      </c>
      <c r="F254" s="118"/>
      <c r="G254" s="59">
        <v>0</v>
      </c>
      <c r="H254" s="71"/>
      <c r="I254" s="72"/>
    </row>
    <row r="255" spans="3:9" ht="51.75" thickBot="1" x14ac:dyDescent="0.3">
      <c r="C255" s="32">
        <f>MAX($C$8:C254)+1</f>
        <v>136</v>
      </c>
      <c r="D255" s="127"/>
      <c r="E255" s="119" t="s">
        <v>314</v>
      </c>
      <c r="F255" s="120" t="s">
        <v>43</v>
      </c>
      <c r="G255" s="121">
        <v>302.5</v>
      </c>
      <c r="H255" s="59"/>
      <c r="I255" s="89"/>
    </row>
    <row r="256" spans="3:9" ht="13.5" thickBot="1" x14ac:dyDescent="0.3">
      <c r="C256" s="114">
        <v>26</v>
      </c>
      <c r="D256" s="92" t="s">
        <v>117</v>
      </c>
      <c r="E256" s="273" t="s">
        <v>118</v>
      </c>
      <c r="F256" s="274"/>
      <c r="G256" s="274"/>
      <c r="H256" s="275"/>
      <c r="I256" s="142">
        <f>SUM(I257:I258)</f>
        <v>0</v>
      </c>
    </row>
    <row r="257" spans="3:9" x14ac:dyDescent="0.25">
      <c r="C257" s="115"/>
      <c r="D257" s="143" t="s">
        <v>119</v>
      </c>
      <c r="E257" s="144" t="s">
        <v>120</v>
      </c>
      <c r="F257" s="145"/>
      <c r="G257" s="95">
        <v>0</v>
      </c>
      <c r="H257" s="60"/>
      <c r="I257" s="146">
        <v>0</v>
      </c>
    </row>
    <row r="258" spans="3:9" ht="25.5" x14ac:dyDescent="0.25">
      <c r="C258" s="32">
        <f>MAX($C$8:C257)+1</f>
        <v>137</v>
      </c>
      <c r="D258" s="150"/>
      <c r="E258" s="149" t="s">
        <v>121</v>
      </c>
      <c r="F258" s="140" t="s">
        <v>43</v>
      </c>
      <c r="G258" s="59">
        <v>142.5</v>
      </c>
      <c r="H258" s="59"/>
      <c r="I258" s="72"/>
    </row>
    <row r="259" spans="3:9" x14ac:dyDescent="0.25">
      <c r="C259" s="115"/>
      <c r="D259" s="156" t="s">
        <v>122</v>
      </c>
      <c r="E259" s="144" t="s">
        <v>123</v>
      </c>
      <c r="F259" s="118"/>
      <c r="G259" s="95">
        <v>0</v>
      </c>
      <c r="H259" s="60"/>
      <c r="I259" s="61"/>
    </row>
    <row r="260" spans="3:9" ht="13.5" thickBot="1" x14ac:dyDescent="0.3">
      <c r="C260" s="32">
        <f>MAX($C$8:C259)+1</f>
        <v>138</v>
      </c>
      <c r="D260" s="150"/>
      <c r="E260" s="149" t="s">
        <v>124</v>
      </c>
      <c r="F260" s="140" t="s">
        <v>52</v>
      </c>
      <c r="G260" s="59">
        <v>23.5</v>
      </c>
      <c r="H260" s="59"/>
      <c r="I260" s="89"/>
    </row>
    <row r="261" spans="3:9" ht="13.5" thickBot="1" x14ac:dyDescent="0.3">
      <c r="C261" s="114">
        <v>27</v>
      </c>
      <c r="D261" s="151" t="s">
        <v>125</v>
      </c>
      <c r="E261" s="264" t="s">
        <v>126</v>
      </c>
      <c r="F261" s="253"/>
      <c r="G261" s="253"/>
      <c r="H261" s="254"/>
      <c r="I261" s="53">
        <f>SUM(I262:I268)</f>
        <v>0</v>
      </c>
    </row>
    <row r="262" spans="3:9" ht="25.5" x14ac:dyDescent="0.25">
      <c r="C262" s="115"/>
      <c r="D262" s="152" t="s">
        <v>130</v>
      </c>
      <c r="E262" s="144" t="s">
        <v>315</v>
      </c>
      <c r="F262" s="118"/>
      <c r="G262" s="59">
        <v>0</v>
      </c>
      <c r="H262" s="71"/>
      <c r="I262" s="72"/>
    </row>
    <row r="263" spans="3:9" x14ac:dyDescent="0.25">
      <c r="C263" s="32">
        <f>MAX($C$8:C262)+1</f>
        <v>139</v>
      </c>
      <c r="D263" s="153"/>
      <c r="E263" s="154" t="s">
        <v>132</v>
      </c>
      <c r="F263" s="120" t="s">
        <v>37</v>
      </c>
      <c r="G263" s="59">
        <v>20</v>
      </c>
      <c r="H263" s="59"/>
      <c r="I263" s="89"/>
    </row>
    <row r="264" spans="3:9" x14ac:dyDescent="0.25">
      <c r="C264" s="32">
        <f>MAX($C$8:C263)+1</f>
        <v>140</v>
      </c>
      <c r="D264" s="155"/>
      <c r="E264" s="154" t="s">
        <v>316</v>
      </c>
      <c r="F264" s="120" t="s">
        <v>37</v>
      </c>
      <c r="G264" s="59">
        <v>20</v>
      </c>
      <c r="H264" s="59"/>
      <c r="I264" s="89"/>
    </row>
    <row r="265" spans="3:9" x14ac:dyDescent="0.25">
      <c r="C265" s="32">
        <f>MAX($C$8:C264)+1</f>
        <v>141</v>
      </c>
      <c r="D265" s="155"/>
      <c r="E265" s="154" t="s">
        <v>134</v>
      </c>
      <c r="F265" s="120" t="s">
        <v>37</v>
      </c>
      <c r="G265" s="59">
        <v>20</v>
      </c>
      <c r="H265" s="59"/>
      <c r="I265" s="89"/>
    </row>
    <row r="266" spans="3:9" x14ac:dyDescent="0.25">
      <c r="C266" s="32">
        <f>MAX($C$8:C265)+1</f>
        <v>142</v>
      </c>
      <c r="D266" s="211"/>
      <c r="E266" s="154" t="s">
        <v>317</v>
      </c>
      <c r="F266" s="120" t="s">
        <v>37</v>
      </c>
      <c r="G266" s="59">
        <v>20</v>
      </c>
      <c r="H266" s="59"/>
      <c r="I266" s="89"/>
    </row>
    <row r="267" spans="3:9" x14ac:dyDescent="0.25">
      <c r="C267" s="115"/>
      <c r="D267" s="143" t="s">
        <v>137</v>
      </c>
      <c r="E267" s="144" t="s">
        <v>138</v>
      </c>
      <c r="F267" s="118"/>
      <c r="G267" s="59">
        <v>0</v>
      </c>
      <c r="H267" s="71"/>
      <c r="I267" s="72"/>
    </row>
    <row r="268" spans="3:9" ht="38.25" x14ac:dyDescent="0.25">
      <c r="C268" s="32">
        <f>MAX($C$8:C267)+1</f>
        <v>143</v>
      </c>
      <c r="D268" s="212"/>
      <c r="E268" s="158" t="s">
        <v>139</v>
      </c>
      <c r="F268" s="159" t="s">
        <v>52</v>
      </c>
      <c r="G268" s="59">
        <f>20+30+32+42+15+26*2</f>
        <v>191</v>
      </c>
      <c r="H268" s="59"/>
      <c r="I268" s="89"/>
    </row>
    <row r="269" spans="3:9" x14ac:dyDescent="0.25">
      <c r="C269" s="32"/>
      <c r="D269" s="143" t="s">
        <v>318</v>
      </c>
      <c r="E269" s="144" t="s">
        <v>319</v>
      </c>
      <c r="F269" s="118"/>
      <c r="G269" s="59">
        <v>0</v>
      </c>
      <c r="H269" s="71"/>
      <c r="I269" s="72"/>
    </row>
    <row r="270" spans="3:9" ht="26.25" thickBot="1" x14ac:dyDescent="0.3">
      <c r="C270" s="32">
        <f>MAX($C$8:C269)+1</f>
        <v>144</v>
      </c>
      <c r="D270" s="212"/>
      <c r="E270" s="158" t="s">
        <v>320</v>
      </c>
      <c r="F270" s="159" t="s">
        <v>52</v>
      </c>
      <c r="G270" s="59">
        <v>95</v>
      </c>
      <c r="H270" s="59"/>
      <c r="I270" s="89"/>
    </row>
    <row r="271" spans="3:9" ht="13.5" thickBot="1" x14ac:dyDescent="0.3">
      <c r="C271" s="160">
        <v>28</v>
      </c>
      <c r="D271" s="151" t="s">
        <v>140</v>
      </c>
      <c r="E271" s="264" t="s">
        <v>141</v>
      </c>
      <c r="F271" s="253"/>
      <c r="G271" s="253"/>
      <c r="H271" s="254"/>
      <c r="I271" s="53">
        <f>SUM(I272:I273)</f>
        <v>0</v>
      </c>
    </row>
    <row r="272" spans="3:9" x14ac:dyDescent="0.25">
      <c r="C272" s="132"/>
      <c r="D272" s="161" t="s">
        <v>142</v>
      </c>
      <c r="E272" s="162" t="s">
        <v>143</v>
      </c>
      <c r="F272" s="118"/>
      <c r="G272" s="95">
        <v>0</v>
      </c>
      <c r="H272" s="60"/>
      <c r="I272" s="61">
        <v>0</v>
      </c>
    </row>
    <row r="273" spans="3:10" ht="26.25" thickBot="1" x14ac:dyDescent="0.3">
      <c r="C273" s="32">
        <f>MAX($C$8:C272)+1</f>
        <v>145</v>
      </c>
      <c r="D273" s="98"/>
      <c r="E273" s="163" t="s">
        <v>144</v>
      </c>
      <c r="F273" s="140" t="s">
        <v>52</v>
      </c>
      <c r="G273" s="59">
        <v>95</v>
      </c>
      <c r="H273" s="59"/>
      <c r="I273" s="89"/>
    </row>
    <row r="274" spans="3:10" ht="13.5" thickBot="1" x14ac:dyDescent="0.3">
      <c r="C274" s="114">
        <v>29</v>
      </c>
      <c r="D274" s="92" t="s">
        <v>148</v>
      </c>
      <c r="E274" s="253" t="s">
        <v>149</v>
      </c>
      <c r="F274" s="253"/>
      <c r="G274" s="253"/>
      <c r="H274" s="254"/>
      <c r="I274" s="53">
        <f>SUM(I275:I276)</f>
        <v>0</v>
      </c>
    </row>
    <row r="275" spans="3:10" x14ac:dyDescent="0.25">
      <c r="C275" s="115"/>
      <c r="D275" s="167" t="s">
        <v>150</v>
      </c>
      <c r="E275" s="168" t="s">
        <v>151</v>
      </c>
      <c r="F275" s="118"/>
      <c r="G275" s="95">
        <v>0</v>
      </c>
      <c r="H275" s="60"/>
      <c r="I275" s="61">
        <v>0</v>
      </c>
    </row>
    <row r="276" spans="3:10" ht="26.25" thickBot="1" x14ac:dyDescent="0.3">
      <c r="C276" s="32">
        <f>MAX($C$8:C275)+1</f>
        <v>146</v>
      </c>
      <c r="D276" s="140"/>
      <c r="E276" s="134" t="s">
        <v>152</v>
      </c>
      <c r="F276" s="139" t="s">
        <v>43</v>
      </c>
      <c r="G276" s="121">
        <v>1003</v>
      </c>
      <c r="H276" s="59"/>
      <c r="I276" s="89"/>
    </row>
    <row r="277" spans="3:10" ht="35.450000000000003" customHeight="1" thickTop="1" thickBot="1" x14ac:dyDescent="0.3">
      <c r="C277" s="213"/>
      <c r="D277" s="255" t="s">
        <v>153</v>
      </c>
      <c r="E277" s="255"/>
      <c r="F277" s="255"/>
      <c r="G277" s="255"/>
      <c r="H277" s="256"/>
      <c r="I277" s="214">
        <f>I217+I231+I236+I240+I249+I256+I261+I271+I274</f>
        <v>0</v>
      </c>
      <c r="J277" s="215"/>
    </row>
    <row r="278" spans="3:10" ht="24" customHeight="1" thickTop="1" thickBot="1" x14ac:dyDescent="0.3">
      <c r="C278" s="257" t="s">
        <v>321</v>
      </c>
      <c r="D278" s="258"/>
      <c r="E278" s="258"/>
      <c r="F278" s="258"/>
      <c r="G278" s="258"/>
      <c r="H278" s="258"/>
      <c r="I278" s="259"/>
    </row>
    <row r="279" spans="3:10" ht="14.25" thickTop="1" thickBot="1" x14ac:dyDescent="0.3">
      <c r="C279" s="91">
        <v>30</v>
      </c>
      <c r="D279" s="48"/>
      <c r="E279" s="49" t="s">
        <v>322</v>
      </c>
      <c r="F279" s="216"/>
      <c r="G279" s="217"/>
      <c r="H279" s="52"/>
      <c r="I279" s="179">
        <f>SUM(I280:I281)</f>
        <v>0</v>
      </c>
    </row>
    <row r="280" spans="3:10" x14ac:dyDescent="0.25">
      <c r="C280" s="32">
        <f>MAX($C$8:C279)+1</f>
        <v>147</v>
      </c>
      <c r="D280" s="173" t="s">
        <v>177</v>
      </c>
      <c r="E280" s="81" t="s">
        <v>323</v>
      </c>
      <c r="F280" s="177" t="s">
        <v>75</v>
      </c>
      <c r="G280" s="175">
        <f>3.5*4+8.2*2+5.2+3.5</f>
        <v>39.1</v>
      </c>
      <c r="H280" s="59"/>
      <c r="I280" s="89"/>
    </row>
    <row r="281" spans="3:10" ht="26.25" thickBot="1" x14ac:dyDescent="0.3">
      <c r="C281" s="32">
        <f>MAX($C$8:C280)+1</f>
        <v>148</v>
      </c>
      <c r="D281" s="218" t="s">
        <v>177</v>
      </c>
      <c r="E281" s="219" t="s">
        <v>324</v>
      </c>
      <c r="F281" s="220" t="s">
        <v>75</v>
      </c>
      <c r="G281" s="175">
        <f>G280</f>
        <v>39.1</v>
      </c>
      <c r="H281" s="178"/>
      <c r="I281" s="89"/>
    </row>
    <row r="282" spans="3:10" ht="13.5" thickBot="1" x14ac:dyDescent="0.3">
      <c r="C282" s="91">
        <v>31</v>
      </c>
      <c r="D282" s="48"/>
      <c r="E282" s="49" t="s">
        <v>325</v>
      </c>
      <c r="F282" s="216"/>
      <c r="G282" s="217"/>
      <c r="H282" s="52"/>
      <c r="I282" s="179">
        <f>SUM(I283:I284)</f>
        <v>0</v>
      </c>
    </row>
    <row r="283" spans="3:10" ht="25.5" x14ac:dyDescent="0.25">
      <c r="C283" s="32">
        <f>MAX($C$8:C282)+1</f>
        <v>149</v>
      </c>
      <c r="D283" s="218" t="s">
        <v>170</v>
      </c>
      <c r="E283" s="86" t="s">
        <v>326</v>
      </c>
      <c r="F283" s="177" t="s">
        <v>279</v>
      </c>
      <c r="G283" s="175">
        <f>8.2*3.5*2*2</f>
        <v>114.79999999999998</v>
      </c>
      <c r="H283" s="178"/>
      <c r="I283" s="89"/>
    </row>
    <row r="284" spans="3:10" ht="26.25" thickBot="1" x14ac:dyDescent="0.3">
      <c r="C284" s="32">
        <f>MAX($C$8:C283)+1</f>
        <v>150</v>
      </c>
      <c r="D284" s="218" t="s">
        <v>167</v>
      </c>
      <c r="E284" s="87" t="s">
        <v>327</v>
      </c>
      <c r="F284" s="221" t="s">
        <v>279</v>
      </c>
      <c r="G284" s="175">
        <f>G283</f>
        <v>114.79999999999998</v>
      </c>
      <c r="H284" s="178"/>
      <c r="I284" s="89"/>
    </row>
    <row r="285" spans="3:10" ht="13.5" thickBot="1" x14ac:dyDescent="0.3">
      <c r="C285" s="91">
        <v>32</v>
      </c>
      <c r="D285" s="48"/>
      <c r="E285" s="49" t="s">
        <v>328</v>
      </c>
      <c r="F285" s="216"/>
      <c r="G285" s="217"/>
      <c r="H285" s="52"/>
      <c r="I285" s="179">
        <f>SUM(I286:I293)</f>
        <v>0</v>
      </c>
    </row>
    <row r="286" spans="3:10" ht="25.5" x14ac:dyDescent="0.25">
      <c r="C286" s="32">
        <f>MAX($C$8:C285)+1</f>
        <v>151</v>
      </c>
      <c r="D286" s="116" t="s">
        <v>170</v>
      </c>
      <c r="E286" s="97" t="s">
        <v>329</v>
      </c>
      <c r="F286" s="98" t="s">
        <v>279</v>
      </c>
      <c r="G286" s="175">
        <f>8*3.5*2</f>
        <v>56</v>
      </c>
      <c r="H286" s="59"/>
      <c r="I286" s="89"/>
    </row>
    <row r="287" spans="3:10" x14ac:dyDescent="0.25">
      <c r="C287" s="32">
        <f>MAX($C$8:C286)+1</f>
        <v>152</v>
      </c>
      <c r="D287" s="116" t="s">
        <v>330</v>
      </c>
      <c r="E287" s="87" t="s">
        <v>331</v>
      </c>
      <c r="F287" s="98" t="s">
        <v>75</v>
      </c>
      <c r="G287" s="175">
        <f>3*3*4*4</f>
        <v>144</v>
      </c>
      <c r="H287" s="59"/>
      <c r="I287" s="89"/>
    </row>
    <row r="288" spans="3:10" x14ac:dyDescent="0.25">
      <c r="C288" s="32">
        <f>MAX($C$8:C287)+1</f>
        <v>153</v>
      </c>
      <c r="D288" s="116" t="s">
        <v>330</v>
      </c>
      <c r="E288" s="87" t="s">
        <v>332</v>
      </c>
      <c r="F288" s="177" t="s">
        <v>333</v>
      </c>
      <c r="G288" s="175">
        <f>1.15*8*2</f>
        <v>18.399999999999999</v>
      </c>
      <c r="H288" s="178"/>
      <c r="I288" s="89"/>
    </row>
    <row r="289" spans="3:9" ht="25.5" x14ac:dyDescent="0.25">
      <c r="C289" s="32">
        <f>MAX($C$8:C288)+1</f>
        <v>154</v>
      </c>
      <c r="D289" s="116" t="s">
        <v>330</v>
      </c>
      <c r="E289" s="182" t="s">
        <v>334</v>
      </c>
      <c r="F289" s="177" t="s">
        <v>52</v>
      </c>
      <c r="G289" s="177">
        <v>16</v>
      </c>
      <c r="H289" s="178"/>
      <c r="I289" s="89"/>
    </row>
    <row r="290" spans="3:9" ht="25.5" x14ac:dyDescent="0.25">
      <c r="C290" s="32">
        <f>MAX($C$8:C289)+1</f>
        <v>155</v>
      </c>
      <c r="D290" s="116" t="s">
        <v>14</v>
      </c>
      <c r="E290" s="87" t="s">
        <v>335</v>
      </c>
      <c r="F290" s="98" t="s">
        <v>304</v>
      </c>
      <c r="G290" s="175">
        <v>1</v>
      </c>
      <c r="H290" s="178"/>
      <c r="I290" s="89"/>
    </row>
    <row r="291" spans="3:9" x14ac:dyDescent="0.25">
      <c r="C291" s="32">
        <f>MAX($C$8:C290)+1</f>
        <v>156</v>
      </c>
      <c r="D291" s="116" t="s">
        <v>49</v>
      </c>
      <c r="E291" s="97" t="s">
        <v>336</v>
      </c>
      <c r="F291" s="98" t="s">
        <v>52</v>
      </c>
      <c r="G291" s="175">
        <f>16*0.3*1.5</f>
        <v>7.1999999999999993</v>
      </c>
      <c r="H291" s="178"/>
      <c r="I291" s="89"/>
    </row>
    <row r="292" spans="3:9" x14ac:dyDescent="0.25">
      <c r="C292" s="32">
        <f>MAX($C$8:C291)+1</f>
        <v>157</v>
      </c>
      <c r="D292" s="116" t="s">
        <v>49</v>
      </c>
      <c r="E292" s="222" t="s">
        <v>337</v>
      </c>
      <c r="F292" s="223" t="s">
        <v>279</v>
      </c>
      <c r="G292" s="113">
        <f>G288</f>
        <v>18.399999999999999</v>
      </c>
      <c r="H292" s="178"/>
      <c r="I292" s="89"/>
    </row>
    <row r="293" spans="3:9" ht="18" customHeight="1" thickBot="1" x14ac:dyDescent="0.3">
      <c r="C293" s="32">
        <f>MAX($C$8:C292)+1</f>
        <v>158</v>
      </c>
      <c r="D293" s="224" t="s">
        <v>49</v>
      </c>
      <c r="E293" s="225" t="s">
        <v>338</v>
      </c>
      <c r="F293" s="226" t="s">
        <v>75</v>
      </c>
      <c r="G293" s="199">
        <f>G287</f>
        <v>144</v>
      </c>
      <c r="H293" s="227"/>
      <c r="I293" s="89"/>
    </row>
    <row r="294" spans="3:9" ht="25.5" customHeight="1" thickBot="1" x14ac:dyDescent="0.3">
      <c r="C294" s="228"/>
      <c r="D294" s="229"/>
      <c r="E294" s="230"/>
      <c r="F294" s="229"/>
      <c r="G294" s="260" t="s">
        <v>153</v>
      </c>
      <c r="H294" s="261"/>
      <c r="I294" s="231">
        <f>I279+I282+I285</f>
        <v>0</v>
      </c>
    </row>
    <row r="295" spans="3:9" ht="30" customHeight="1" thickBot="1" x14ac:dyDescent="0.3">
      <c r="C295" s="232"/>
      <c r="D295" s="251" t="s">
        <v>339</v>
      </c>
      <c r="E295" s="251"/>
      <c r="F295" s="251"/>
      <c r="G295" s="251"/>
      <c r="H295" s="252"/>
      <c r="I295" s="233">
        <f>I103+I198+I215+I277+I294</f>
        <v>0</v>
      </c>
    </row>
    <row r="296" spans="3:9" ht="30" customHeight="1" thickBot="1" x14ac:dyDescent="0.3">
      <c r="C296" s="232"/>
      <c r="D296" s="234"/>
      <c r="E296" s="235"/>
      <c r="F296" s="234"/>
      <c r="G296" s="262" t="s">
        <v>340</v>
      </c>
      <c r="H296" s="263"/>
      <c r="I296" s="233">
        <f>I295*23%</f>
        <v>0</v>
      </c>
    </row>
    <row r="297" spans="3:9" ht="30" customHeight="1" thickBot="1" x14ac:dyDescent="0.3">
      <c r="C297" s="232"/>
      <c r="D297" s="251" t="s">
        <v>341</v>
      </c>
      <c r="E297" s="251"/>
      <c r="F297" s="251"/>
      <c r="G297" s="251"/>
      <c r="H297" s="252"/>
      <c r="I297" s="233">
        <f>I295+I296</f>
        <v>0</v>
      </c>
    </row>
    <row r="299" spans="3:9" ht="15" customHeight="1" x14ac:dyDescent="0.25">
      <c r="E299" s="298" t="s">
        <v>346</v>
      </c>
      <c r="F299" s="298"/>
      <c r="G299" s="298"/>
      <c r="H299" s="298"/>
    </row>
  </sheetData>
  <mergeCells count="41">
    <mergeCell ref="E299:H299"/>
    <mergeCell ref="C1:I1"/>
    <mergeCell ref="C2:I2"/>
    <mergeCell ref="D3:E3"/>
    <mergeCell ref="D4:E4"/>
    <mergeCell ref="C5:C6"/>
    <mergeCell ref="D5:D6"/>
    <mergeCell ref="E5:E6"/>
    <mergeCell ref="F5:G5"/>
    <mergeCell ref="H5:H6"/>
    <mergeCell ref="C104:I104"/>
    <mergeCell ref="I5:I6"/>
    <mergeCell ref="C8:I8"/>
    <mergeCell ref="E37:H37"/>
    <mergeCell ref="E44:H44"/>
    <mergeCell ref="E53:H53"/>
    <mergeCell ref="E68:H68"/>
    <mergeCell ref="E79:H79"/>
    <mergeCell ref="E84:H84"/>
    <mergeCell ref="E95:H95"/>
    <mergeCell ref="E100:H100"/>
    <mergeCell ref="C103:H103"/>
    <mergeCell ref="E271:H271"/>
    <mergeCell ref="D109:D116"/>
    <mergeCell ref="C198:H198"/>
    <mergeCell ref="C199:I199"/>
    <mergeCell ref="C215:H215"/>
    <mergeCell ref="C216:I216"/>
    <mergeCell ref="E231:H231"/>
    <mergeCell ref="E236:H236"/>
    <mergeCell ref="E240:H240"/>
    <mergeCell ref="E249:H249"/>
    <mergeCell ref="E256:H256"/>
    <mergeCell ref="E261:H261"/>
    <mergeCell ref="D297:H297"/>
    <mergeCell ref="E274:H274"/>
    <mergeCell ref="D277:H277"/>
    <mergeCell ref="C278:I278"/>
    <mergeCell ref="G294:H294"/>
    <mergeCell ref="D295:H295"/>
    <mergeCell ref="G296:H296"/>
  </mergeCells>
  <conditionalFormatting sqref="H107">
    <cfRule type="cellIs" dxfId="0" priority="1" operator="equal">
      <formula>0</formula>
    </cfRule>
  </conditionalFormatting>
  <printOptions horizontalCentered="1"/>
  <pageMargins left="0.39370078740157483" right="0.19685039370078741" top="0.9055118110236221" bottom="0.70866141732283472" header="0.47244094488188981" footer="0.35433070866141736"/>
  <pageSetup paperSize="9" scale="66" firstPageNumber="15" fitToHeight="3" orientation="portrait" useFirstPageNumber="1" r:id="rId1"/>
  <headerFooter scaleWithDoc="0" alignWithMargins="0">
    <oddFooter>&amp;C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D1F6D-97E4-465B-B302-D4F110F98C91}">
  <sheetPr>
    <tabColor theme="3" tint="-0.249977111117893"/>
    <pageSetUpPr fitToPage="1"/>
  </sheetPr>
  <dimension ref="B1:J48"/>
  <sheetViews>
    <sheetView showGridLines="0" showZeros="0" view="pageBreakPreview" zoomScale="85" zoomScaleNormal="100" zoomScaleSheetLayoutView="85" workbookViewId="0">
      <pane ySplit="8" topLeftCell="A9" activePane="bottomLeft" state="frozen"/>
      <selection activeCell="F72" sqref="F72"/>
      <selection pane="bottomLeft" activeCell="E13" sqref="E13"/>
    </sheetView>
  </sheetViews>
  <sheetFormatPr defaultColWidth="9.140625" defaultRowHeight="12.75" x14ac:dyDescent="0.25"/>
  <cols>
    <col min="1" max="1" width="20.5703125" style="2" customWidth="1"/>
    <col min="2" max="2" width="1.5703125" style="2" customWidth="1"/>
    <col min="3" max="3" width="10.42578125" style="236" customWidth="1"/>
    <col min="4" max="4" width="60.140625" style="238" customWidth="1"/>
    <col min="5" max="5" width="22.42578125" style="239" customWidth="1"/>
    <col min="6" max="6" width="2.42578125" style="2" customWidth="1"/>
    <col min="7" max="7" width="10" style="2" bestFit="1" customWidth="1"/>
    <col min="8" max="8" width="15" style="2" hidden="1" customWidth="1"/>
    <col min="9" max="9" width="32.5703125" style="2" customWidth="1"/>
    <col min="10" max="10" width="11.42578125" style="2" bestFit="1" customWidth="1"/>
    <col min="11" max="248" width="9.140625" style="2"/>
    <col min="249" max="249" width="20.5703125" style="2" customWidth="1"/>
    <col min="250" max="250" width="1.5703125" style="2" customWidth="1"/>
    <col min="251" max="251" width="4.5703125" style="2" customWidth="1"/>
    <col min="252" max="252" width="11.5703125" style="2" customWidth="1"/>
    <col min="253" max="253" width="45.5703125" style="2" customWidth="1"/>
    <col min="254" max="254" width="7.5703125" style="2" customWidth="1"/>
    <col min="255" max="256" width="12.5703125" style="2" customWidth="1"/>
    <col min="257" max="257" width="18.42578125" style="2" bestFit="1" customWidth="1"/>
    <col min="258" max="258" width="1.5703125" style="2" customWidth="1"/>
    <col min="259" max="259" width="9.42578125" style="2" bestFit="1" customWidth="1"/>
    <col min="260" max="260" width="15" style="2" customWidth="1"/>
    <col min="261" max="261" width="32.5703125" style="2" customWidth="1"/>
    <col min="262" max="262" width="10" style="2" bestFit="1" customWidth="1"/>
    <col min="263" max="263" width="10.140625" style="2" bestFit="1" customWidth="1"/>
    <col min="264" max="264" width="9.42578125" style="2" bestFit="1" customWidth="1"/>
    <col min="265" max="504" width="9.140625" style="2"/>
    <col min="505" max="505" width="20.5703125" style="2" customWidth="1"/>
    <col min="506" max="506" width="1.5703125" style="2" customWidth="1"/>
    <col min="507" max="507" width="4.5703125" style="2" customWidth="1"/>
    <col min="508" max="508" width="11.5703125" style="2" customWidth="1"/>
    <col min="509" max="509" width="45.5703125" style="2" customWidth="1"/>
    <col min="510" max="510" width="7.5703125" style="2" customWidth="1"/>
    <col min="511" max="512" width="12.5703125" style="2" customWidth="1"/>
    <col min="513" max="513" width="18.42578125" style="2" bestFit="1" customWidth="1"/>
    <col min="514" max="514" width="1.5703125" style="2" customWidth="1"/>
    <col min="515" max="515" width="9.42578125" style="2" bestFit="1" customWidth="1"/>
    <col min="516" max="516" width="15" style="2" customWidth="1"/>
    <col min="517" max="517" width="32.5703125" style="2" customWidth="1"/>
    <col min="518" max="518" width="10" style="2" bestFit="1" customWidth="1"/>
    <col min="519" max="519" width="10.140625" style="2" bestFit="1" customWidth="1"/>
    <col min="520" max="520" width="9.42578125" style="2" bestFit="1" customWidth="1"/>
    <col min="521" max="760" width="9.140625" style="2"/>
    <col min="761" max="761" width="20.5703125" style="2" customWidth="1"/>
    <col min="762" max="762" width="1.5703125" style="2" customWidth="1"/>
    <col min="763" max="763" width="4.5703125" style="2" customWidth="1"/>
    <col min="764" max="764" width="11.5703125" style="2" customWidth="1"/>
    <col min="765" max="765" width="45.5703125" style="2" customWidth="1"/>
    <col min="766" max="766" width="7.5703125" style="2" customWidth="1"/>
    <col min="767" max="768" width="12.5703125" style="2" customWidth="1"/>
    <col min="769" max="769" width="18.42578125" style="2" bestFit="1" customWidth="1"/>
    <col min="770" max="770" width="1.5703125" style="2" customWidth="1"/>
    <col min="771" max="771" width="9.42578125" style="2" bestFit="1" customWidth="1"/>
    <col min="772" max="772" width="15" style="2" customWidth="1"/>
    <col min="773" max="773" width="32.5703125" style="2" customWidth="1"/>
    <col min="774" max="774" width="10" style="2" bestFit="1" customWidth="1"/>
    <col min="775" max="775" width="10.140625" style="2" bestFit="1" customWidth="1"/>
    <col min="776" max="776" width="9.42578125" style="2" bestFit="1" customWidth="1"/>
    <col min="777" max="1016" width="9.140625" style="2"/>
    <col min="1017" max="1017" width="20.5703125" style="2" customWidth="1"/>
    <col min="1018" max="1018" width="1.5703125" style="2" customWidth="1"/>
    <col min="1019" max="1019" width="4.5703125" style="2" customWidth="1"/>
    <col min="1020" max="1020" width="11.5703125" style="2" customWidth="1"/>
    <col min="1021" max="1021" width="45.5703125" style="2" customWidth="1"/>
    <col min="1022" max="1022" width="7.5703125" style="2" customWidth="1"/>
    <col min="1023" max="1024" width="12.5703125" style="2" customWidth="1"/>
    <col min="1025" max="1025" width="18.42578125" style="2" bestFit="1" customWidth="1"/>
    <col min="1026" max="1026" width="1.5703125" style="2" customWidth="1"/>
    <col min="1027" max="1027" width="9.42578125" style="2" bestFit="1" customWidth="1"/>
    <col min="1028" max="1028" width="15" style="2" customWidth="1"/>
    <col min="1029" max="1029" width="32.5703125" style="2" customWidth="1"/>
    <col min="1030" max="1030" width="10" style="2" bestFit="1" customWidth="1"/>
    <col min="1031" max="1031" width="10.140625" style="2" bestFit="1" customWidth="1"/>
    <col min="1032" max="1032" width="9.42578125" style="2" bestFit="1" customWidth="1"/>
    <col min="1033" max="1272" width="9.140625" style="2"/>
    <col min="1273" max="1273" width="20.5703125" style="2" customWidth="1"/>
    <col min="1274" max="1274" width="1.5703125" style="2" customWidth="1"/>
    <col min="1275" max="1275" width="4.5703125" style="2" customWidth="1"/>
    <col min="1276" max="1276" width="11.5703125" style="2" customWidth="1"/>
    <col min="1277" max="1277" width="45.5703125" style="2" customWidth="1"/>
    <col min="1278" max="1278" width="7.5703125" style="2" customWidth="1"/>
    <col min="1279" max="1280" width="12.5703125" style="2" customWidth="1"/>
    <col min="1281" max="1281" width="18.42578125" style="2" bestFit="1" customWidth="1"/>
    <col min="1282" max="1282" width="1.5703125" style="2" customWidth="1"/>
    <col min="1283" max="1283" width="9.42578125" style="2" bestFit="1" customWidth="1"/>
    <col min="1284" max="1284" width="15" style="2" customWidth="1"/>
    <col min="1285" max="1285" width="32.5703125" style="2" customWidth="1"/>
    <col min="1286" max="1286" width="10" style="2" bestFit="1" customWidth="1"/>
    <col min="1287" max="1287" width="10.140625" style="2" bestFit="1" customWidth="1"/>
    <col min="1288" max="1288" width="9.42578125" style="2" bestFit="1" customWidth="1"/>
    <col min="1289" max="1528" width="9.140625" style="2"/>
    <col min="1529" max="1529" width="20.5703125" style="2" customWidth="1"/>
    <col min="1530" max="1530" width="1.5703125" style="2" customWidth="1"/>
    <col min="1531" max="1531" width="4.5703125" style="2" customWidth="1"/>
    <col min="1532" max="1532" width="11.5703125" style="2" customWidth="1"/>
    <col min="1533" max="1533" width="45.5703125" style="2" customWidth="1"/>
    <col min="1534" max="1534" width="7.5703125" style="2" customWidth="1"/>
    <col min="1535" max="1536" width="12.5703125" style="2" customWidth="1"/>
    <col min="1537" max="1537" width="18.42578125" style="2" bestFit="1" customWidth="1"/>
    <col min="1538" max="1538" width="1.5703125" style="2" customWidth="1"/>
    <col min="1539" max="1539" width="9.42578125" style="2" bestFit="1" customWidth="1"/>
    <col min="1540" max="1540" width="15" style="2" customWidth="1"/>
    <col min="1541" max="1541" width="32.5703125" style="2" customWidth="1"/>
    <col min="1542" max="1542" width="10" style="2" bestFit="1" customWidth="1"/>
    <col min="1543" max="1543" width="10.140625" style="2" bestFit="1" customWidth="1"/>
    <col min="1544" max="1544" width="9.42578125" style="2" bestFit="1" customWidth="1"/>
    <col min="1545" max="1784" width="9.140625" style="2"/>
    <col min="1785" max="1785" width="20.5703125" style="2" customWidth="1"/>
    <col min="1786" max="1786" width="1.5703125" style="2" customWidth="1"/>
    <col min="1787" max="1787" width="4.5703125" style="2" customWidth="1"/>
    <col min="1788" max="1788" width="11.5703125" style="2" customWidth="1"/>
    <col min="1789" max="1789" width="45.5703125" style="2" customWidth="1"/>
    <col min="1790" max="1790" width="7.5703125" style="2" customWidth="1"/>
    <col min="1791" max="1792" width="12.5703125" style="2" customWidth="1"/>
    <col min="1793" max="1793" width="18.42578125" style="2" bestFit="1" customWidth="1"/>
    <col min="1794" max="1794" width="1.5703125" style="2" customWidth="1"/>
    <col min="1795" max="1795" width="9.42578125" style="2" bestFit="1" customWidth="1"/>
    <col min="1796" max="1796" width="15" style="2" customWidth="1"/>
    <col min="1797" max="1797" width="32.5703125" style="2" customWidth="1"/>
    <col min="1798" max="1798" width="10" style="2" bestFit="1" customWidth="1"/>
    <col min="1799" max="1799" width="10.140625" style="2" bestFit="1" customWidth="1"/>
    <col min="1800" max="1800" width="9.42578125" style="2" bestFit="1" customWidth="1"/>
    <col min="1801" max="2040" width="9.140625" style="2"/>
    <col min="2041" max="2041" width="20.5703125" style="2" customWidth="1"/>
    <col min="2042" max="2042" width="1.5703125" style="2" customWidth="1"/>
    <col min="2043" max="2043" width="4.5703125" style="2" customWidth="1"/>
    <col min="2044" max="2044" width="11.5703125" style="2" customWidth="1"/>
    <col min="2045" max="2045" width="45.5703125" style="2" customWidth="1"/>
    <col min="2046" max="2046" width="7.5703125" style="2" customWidth="1"/>
    <col min="2047" max="2048" width="12.5703125" style="2" customWidth="1"/>
    <col min="2049" max="2049" width="18.42578125" style="2" bestFit="1" customWidth="1"/>
    <col min="2050" max="2050" width="1.5703125" style="2" customWidth="1"/>
    <col min="2051" max="2051" width="9.42578125" style="2" bestFit="1" customWidth="1"/>
    <col min="2052" max="2052" width="15" style="2" customWidth="1"/>
    <col min="2053" max="2053" width="32.5703125" style="2" customWidth="1"/>
    <col min="2054" max="2054" width="10" style="2" bestFit="1" customWidth="1"/>
    <col min="2055" max="2055" width="10.140625" style="2" bestFit="1" customWidth="1"/>
    <col min="2056" max="2056" width="9.42578125" style="2" bestFit="1" customWidth="1"/>
    <col min="2057" max="2296" width="9.140625" style="2"/>
    <col min="2297" max="2297" width="20.5703125" style="2" customWidth="1"/>
    <col min="2298" max="2298" width="1.5703125" style="2" customWidth="1"/>
    <col min="2299" max="2299" width="4.5703125" style="2" customWidth="1"/>
    <col min="2300" max="2300" width="11.5703125" style="2" customWidth="1"/>
    <col min="2301" max="2301" width="45.5703125" style="2" customWidth="1"/>
    <col min="2302" max="2302" width="7.5703125" style="2" customWidth="1"/>
    <col min="2303" max="2304" width="12.5703125" style="2" customWidth="1"/>
    <col min="2305" max="2305" width="18.42578125" style="2" bestFit="1" customWidth="1"/>
    <col min="2306" max="2306" width="1.5703125" style="2" customWidth="1"/>
    <col min="2307" max="2307" width="9.42578125" style="2" bestFit="1" customWidth="1"/>
    <col min="2308" max="2308" width="15" style="2" customWidth="1"/>
    <col min="2309" max="2309" width="32.5703125" style="2" customWidth="1"/>
    <col min="2310" max="2310" width="10" style="2" bestFit="1" customWidth="1"/>
    <col min="2311" max="2311" width="10.140625" style="2" bestFit="1" customWidth="1"/>
    <col min="2312" max="2312" width="9.42578125" style="2" bestFit="1" customWidth="1"/>
    <col min="2313" max="2552" width="9.140625" style="2"/>
    <col min="2553" max="2553" width="20.5703125" style="2" customWidth="1"/>
    <col min="2554" max="2554" width="1.5703125" style="2" customWidth="1"/>
    <col min="2555" max="2555" width="4.5703125" style="2" customWidth="1"/>
    <col min="2556" max="2556" width="11.5703125" style="2" customWidth="1"/>
    <col min="2557" max="2557" width="45.5703125" style="2" customWidth="1"/>
    <col min="2558" max="2558" width="7.5703125" style="2" customWidth="1"/>
    <col min="2559" max="2560" width="12.5703125" style="2" customWidth="1"/>
    <col min="2561" max="2561" width="18.42578125" style="2" bestFit="1" customWidth="1"/>
    <col min="2562" max="2562" width="1.5703125" style="2" customWidth="1"/>
    <col min="2563" max="2563" width="9.42578125" style="2" bestFit="1" customWidth="1"/>
    <col min="2564" max="2564" width="15" style="2" customWidth="1"/>
    <col min="2565" max="2565" width="32.5703125" style="2" customWidth="1"/>
    <col min="2566" max="2566" width="10" style="2" bestFit="1" customWidth="1"/>
    <col min="2567" max="2567" width="10.140625" style="2" bestFit="1" customWidth="1"/>
    <col min="2568" max="2568" width="9.42578125" style="2" bestFit="1" customWidth="1"/>
    <col min="2569" max="2808" width="9.140625" style="2"/>
    <col min="2809" max="2809" width="20.5703125" style="2" customWidth="1"/>
    <col min="2810" max="2810" width="1.5703125" style="2" customWidth="1"/>
    <col min="2811" max="2811" width="4.5703125" style="2" customWidth="1"/>
    <col min="2812" max="2812" width="11.5703125" style="2" customWidth="1"/>
    <col min="2813" max="2813" width="45.5703125" style="2" customWidth="1"/>
    <col min="2814" max="2814" width="7.5703125" style="2" customWidth="1"/>
    <col min="2815" max="2816" width="12.5703125" style="2" customWidth="1"/>
    <col min="2817" max="2817" width="18.42578125" style="2" bestFit="1" customWidth="1"/>
    <col min="2818" max="2818" width="1.5703125" style="2" customWidth="1"/>
    <col min="2819" max="2819" width="9.42578125" style="2" bestFit="1" customWidth="1"/>
    <col min="2820" max="2820" width="15" style="2" customWidth="1"/>
    <col min="2821" max="2821" width="32.5703125" style="2" customWidth="1"/>
    <col min="2822" max="2822" width="10" style="2" bestFit="1" customWidth="1"/>
    <col min="2823" max="2823" width="10.140625" style="2" bestFit="1" customWidth="1"/>
    <col min="2824" max="2824" width="9.42578125" style="2" bestFit="1" customWidth="1"/>
    <col min="2825" max="3064" width="9.140625" style="2"/>
    <col min="3065" max="3065" width="20.5703125" style="2" customWidth="1"/>
    <col min="3066" max="3066" width="1.5703125" style="2" customWidth="1"/>
    <col min="3067" max="3067" width="4.5703125" style="2" customWidth="1"/>
    <col min="3068" max="3068" width="11.5703125" style="2" customWidth="1"/>
    <col min="3069" max="3069" width="45.5703125" style="2" customWidth="1"/>
    <col min="3070" max="3070" width="7.5703125" style="2" customWidth="1"/>
    <col min="3071" max="3072" width="12.5703125" style="2" customWidth="1"/>
    <col min="3073" max="3073" width="18.42578125" style="2" bestFit="1" customWidth="1"/>
    <col min="3074" max="3074" width="1.5703125" style="2" customWidth="1"/>
    <col min="3075" max="3075" width="9.42578125" style="2" bestFit="1" customWidth="1"/>
    <col min="3076" max="3076" width="15" style="2" customWidth="1"/>
    <col min="3077" max="3077" width="32.5703125" style="2" customWidth="1"/>
    <col min="3078" max="3078" width="10" style="2" bestFit="1" customWidth="1"/>
    <col min="3079" max="3079" width="10.140625" style="2" bestFit="1" customWidth="1"/>
    <col min="3080" max="3080" width="9.42578125" style="2" bestFit="1" customWidth="1"/>
    <col min="3081" max="3320" width="9.140625" style="2"/>
    <col min="3321" max="3321" width="20.5703125" style="2" customWidth="1"/>
    <col min="3322" max="3322" width="1.5703125" style="2" customWidth="1"/>
    <col min="3323" max="3323" width="4.5703125" style="2" customWidth="1"/>
    <col min="3324" max="3324" width="11.5703125" style="2" customWidth="1"/>
    <col min="3325" max="3325" width="45.5703125" style="2" customWidth="1"/>
    <col min="3326" max="3326" width="7.5703125" style="2" customWidth="1"/>
    <col min="3327" max="3328" width="12.5703125" style="2" customWidth="1"/>
    <col min="3329" max="3329" width="18.42578125" style="2" bestFit="1" customWidth="1"/>
    <col min="3330" max="3330" width="1.5703125" style="2" customWidth="1"/>
    <col min="3331" max="3331" width="9.42578125" style="2" bestFit="1" customWidth="1"/>
    <col min="3332" max="3332" width="15" style="2" customWidth="1"/>
    <col min="3333" max="3333" width="32.5703125" style="2" customWidth="1"/>
    <col min="3334" max="3334" width="10" style="2" bestFit="1" customWidth="1"/>
    <col min="3335" max="3335" width="10.140625" style="2" bestFit="1" customWidth="1"/>
    <col min="3336" max="3336" width="9.42578125" style="2" bestFit="1" customWidth="1"/>
    <col min="3337" max="3576" width="9.140625" style="2"/>
    <col min="3577" max="3577" width="20.5703125" style="2" customWidth="1"/>
    <col min="3578" max="3578" width="1.5703125" style="2" customWidth="1"/>
    <col min="3579" max="3579" width="4.5703125" style="2" customWidth="1"/>
    <col min="3580" max="3580" width="11.5703125" style="2" customWidth="1"/>
    <col min="3581" max="3581" width="45.5703125" style="2" customWidth="1"/>
    <col min="3582" max="3582" width="7.5703125" style="2" customWidth="1"/>
    <col min="3583" max="3584" width="12.5703125" style="2" customWidth="1"/>
    <col min="3585" max="3585" width="18.42578125" style="2" bestFit="1" customWidth="1"/>
    <col min="3586" max="3586" width="1.5703125" style="2" customWidth="1"/>
    <col min="3587" max="3587" width="9.42578125" style="2" bestFit="1" customWidth="1"/>
    <col min="3588" max="3588" width="15" style="2" customWidth="1"/>
    <col min="3589" max="3589" width="32.5703125" style="2" customWidth="1"/>
    <col min="3590" max="3590" width="10" style="2" bestFit="1" customWidth="1"/>
    <col min="3591" max="3591" width="10.140625" style="2" bestFit="1" customWidth="1"/>
    <col min="3592" max="3592" width="9.42578125" style="2" bestFit="1" customWidth="1"/>
    <col min="3593" max="3832" width="9.140625" style="2"/>
    <col min="3833" max="3833" width="20.5703125" style="2" customWidth="1"/>
    <col min="3834" max="3834" width="1.5703125" style="2" customWidth="1"/>
    <col min="3835" max="3835" width="4.5703125" style="2" customWidth="1"/>
    <col min="3836" max="3836" width="11.5703125" style="2" customWidth="1"/>
    <col min="3837" max="3837" width="45.5703125" style="2" customWidth="1"/>
    <col min="3838" max="3838" width="7.5703125" style="2" customWidth="1"/>
    <col min="3839" max="3840" width="12.5703125" style="2" customWidth="1"/>
    <col min="3841" max="3841" width="18.42578125" style="2" bestFit="1" customWidth="1"/>
    <col min="3842" max="3842" width="1.5703125" style="2" customWidth="1"/>
    <col min="3843" max="3843" width="9.42578125" style="2" bestFit="1" customWidth="1"/>
    <col min="3844" max="3844" width="15" style="2" customWidth="1"/>
    <col min="3845" max="3845" width="32.5703125" style="2" customWidth="1"/>
    <col min="3846" max="3846" width="10" style="2" bestFit="1" customWidth="1"/>
    <col min="3847" max="3847" width="10.140625" style="2" bestFit="1" customWidth="1"/>
    <col min="3848" max="3848" width="9.42578125" style="2" bestFit="1" customWidth="1"/>
    <col min="3849" max="4088" width="9.140625" style="2"/>
    <col min="4089" max="4089" width="20.5703125" style="2" customWidth="1"/>
    <col min="4090" max="4090" width="1.5703125" style="2" customWidth="1"/>
    <col min="4091" max="4091" width="4.5703125" style="2" customWidth="1"/>
    <col min="4092" max="4092" width="11.5703125" style="2" customWidth="1"/>
    <col min="4093" max="4093" width="45.5703125" style="2" customWidth="1"/>
    <col min="4094" max="4094" width="7.5703125" style="2" customWidth="1"/>
    <col min="4095" max="4096" width="12.5703125" style="2" customWidth="1"/>
    <col min="4097" max="4097" width="18.42578125" style="2" bestFit="1" customWidth="1"/>
    <col min="4098" max="4098" width="1.5703125" style="2" customWidth="1"/>
    <col min="4099" max="4099" width="9.42578125" style="2" bestFit="1" customWidth="1"/>
    <col min="4100" max="4100" width="15" style="2" customWidth="1"/>
    <col min="4101" max="4101" width="32.5703125" style="2" customWidth="1"/>
    <col min="4102" max="4102" width="10" style="2" bestFit="1" customWidth="1"/>
    <col min="4103" max="4103" width="10.140625" style="2" bestFit="1" customWidth="1"/>
    <col min="4104" max="4104" width="9.42578125" style="2" bestFit="1" customWidth="1"/>
    <col min="4105" max="4344" width="9.140625" style="2"/>
    <col min="4345" max="4345" width="20.5703125" style="2" customWidth="1"/>
    <col min="4346" max="4346" width="1.5703125" style="2" customWidth="1"/>
    <col min="4347" max="4347" width="4.5703125" style="2" customWidth="1"/>
    <col min="4348" max="4348" width="11.5703125" style="2" customWidth="1"/>
    <col min="4349" max="4349" width="45.5703125" style="2" customWidth="1"/>
    <col min="4350" max="4350" width="7.5703125" style="2" customWidth="1"/>
    <col min="4351" max="4352" width="12.5703125" style="2" customWidth="1"/>
    <col min="4353" max="4353" width="18.42578125" style="2" bestFit="1" customWidth="1"/>
    <col min="4354" max="4354" width="1.5703125" style="2" customWidth="1"/>
    <col min="4355" max="4355" width="9.42578125" style="2" bestFit="1" customWidth="1"/>
    <col min="4356" max="4356" width="15" style="2" customWidth="1"/>
    <col min="4357" max="4357" width="32.5703125" style="2" customWidth="1"/>
    <col min="4358" max="4358" width="10" style="2" bestFit="1" customWidth="1"/>
    <col min="4359" max="4359" width="10.140625" style="2" bestFit="1" customWidth="1"/>
    <col min="4360" max="4360" width="9.42578125" style="2" bestFit="1" customWidth="1"/>
    <col min="4361" max="4600" width="9.140625" style="2"/>
    <col min="4601" max="4601" width="20.5703125" style="2" customWidth="1"/>
    <col min="4602" max="4602" width="1.5703125" style="2" customWidth="1"/>
    <col min="4603" max="4603" width="4.5703125" style="2" customWidth="1"/>
    <col min="4604" max="4604" width="11.5703125" style="2" customWidth="1"/>
    <col min="4605" max="4605" width="45.5703125" style="2" customWidth="1"/>
    <col min="4606" max="4606" width="7.5703125" style="2" customWidth="1"/>
    <col min="4607" max="4608" width="12.5703125" style="2" customWidth="1"/>
    <col min="4609" max="4609" width="18.42578125" style="2" bestFit="1" customWidth="1"/>
    <col min="4610" max="4610" width="1.5703125" style="2" customWidth="1"/>
    <col min="4611" max="4611" width="9.42578125" style="2" bestFit="1" customWidth="1"/>
    <col min="4612" max="4612" width="15" style="2" customWidth="1"/>
    <col min="4613" max="4613" width="32.5703125" style="2" customWidth="1"/>
    <col min="4614" max="4614" width="10" style="2" bestFit="1" customWidth="1"/>
    <col min="4615" max="4615" width="10.140625" style="2" bestFit="1" customWidth="1"/>
    <col min="4616" max="4616" width="9.42578125" style="2" bestFit="1" customWidth="1"/>
    <col min="4617" max="4856" width="9.140625" style="2"/>
    <col min="4857" max="4857" width="20.5703125" style="2" customWidth="1"/>
    <col min="4858" max="4858" width="1.5703125" style="2" customWidth="1"/>
    <col min="4859" max="4859" width="4.5703125" style="2" customWidth="1"/>
    <col min="4860" max="4860" width="11.5703125" style="2" customWidth="1"/>
    <col min="4861" max="4861" width="45.5703125" style="2" customWidth="1"/>
    <col min="4862" max="4862" width="7.5703125" style="2" customWidth="1"/>
    <col min="4863" max="4864" width="12.5703125" style="2" customWidth="1"/>
    <col min="4865" max="4865" width="18.42578125" style="2" bestFit="1" customWidth="1"/>
    <col min="4866" max="4866" width="1.5703125" style="2" customWidth="1"/>
    <col min="4867" max="4867" width="9.42578125" style="2" bestFit="1" customWidth="1"/>
    <col min="4868" max="4868" width="15" style="2" customWidth="1"/>
    <col min="4869" max="4869" width="32.5703125" style="2" customWidth="1"/>
    <col min="4870" max="4870" width="10" style="2" bestFit="1" customWidth="1"/>
    <col min="4871" max="4871" width="10.140625" style="2" bestFit="1" customWidth="1"/>
    <col min="4872" max="4872" width="9.42578125" style="2" bestFit="1" customWidth="1"/>
    <col min="4873" max="5112" width="9.140625" style="2"/>
    <col min="5113" max="5113" width="20.5703125" style="2" customWidth="1"/>
    <col min="5114" max="5114" width="1.5703125" style="2" customWidth="1"/>
    <col min="5115" max="5115" width="4.5703125" style="2" customWidth="1"/>
    <col min="5116" max="5116" width="11.5703125" style="2" customWidth="1"/>
    <col min="5117" max="5117" width="45.5703125" style="2" customWidth="1"/>
    <col min="5118" max="5118" width="7.5703125" style="2" customWidth="1"/>
    <col min="5119" max="5120" width="12.5703125" style="2" customWidth="1"/>
    <col min="5121" max="5121" width="18.42578125" style="2" bestFit="1" customWidth="1"/>
    <col min="5122" max="5122" width="1.5703125" style="2" customWidth="1"/>
    <col min="5123" max="5123" width="9.42578125" style="2" bestFit="1" customWidth="1"/>
    <col min="5124" max="5124" width="15" style="2" customWidth="1"/>
    <col min="5125" max="5125" width="32.5703125" style="2" customWidth="1"/>
    <col min="5126" max="5126" width="10" style="2" bestFit="1" customWidth="1"/>
    <col min="5127" max="5127" width="10.140625" style="2" bestFit="1" customWidth="1"/>
    <col min="5128" max="5128" width="9.42578125" style="2" bestFit="1" customWidth="1"/>
    <col min="5129" max="5368" width="9.140625" style="2"/>
    <col min="5369" max="5369" width="20.5703125" style="2" customWidth="1"/>
    <col min="5370" max="5370" width="1.5703125" style="2" customWidth="1"/>
    <col min="5371" max="5371" width="4.5703125" style="2" customWidth="1"/>
    <col min="5372" max="5372" width="11.5703125" style="2" customWidth="1"/>
    <col min="5373" max="5373" width="45.5703125" style="2" customWidth="1"/>
    <col min="5374" max="5374" width="7.5703125" style="2" customWidth="1"/>
    <col min="5375" max="5376" width="12.5703125" style="2" customWidth="1"/>
    <col min="5377" max="5377" width="18.42578125" style="2" bestFit="1" customWidth="1"/>
    <col min="5378" max="5378" width="1.5703125" style="2" customWidth="1"/>
    <col min="5379" max="5379" width="9.42578125" style="2" bestFit="1" customWidth="1"/>
    <col min="5380" max="5380" width="15" style="2" customWidth="1"/>
    <col min="5381" max="5381" width="32.5703125" style="2" customWidth="1"/>
    <col min="5382" max="5382" width="10" style="2" bestFit="1" customWidth="1"/>
    <col min="5383" max="5383" width="10.140625" style="2" bestFit="1" customWidth="1"/>
    <col min="5384" max="5384" width="9.42578125" style="2" bestFit="1" customWidth="1"/>
    <col min="5385" max="5624" width="9.140625" style="2"/>
    <col min="5625" max="5625" width="20.5703125" style="2" customWidth="1"/>
    <col min="5626" max="5626" width="1.5703125" style="2" customWidth="1"/>
    <col min="5627" max="5627" width="4.5703125" style="2" customWidth="1"/>
    <col min="5628" max="5628" width="11.5703125" style="2" customWidth="1"/>
    <col min="5629" max="5629" width="45.5703125" style="2" customWidth="1"/>
    <col min="5630" max="5630" width="7.5703125" style="2" customWidth="1"/>
    <col min="5631" max="5632" width="12.5703125" style="2" customWidth="1"/>
    <col min="5633" max="5633" width="18.42578125" style="2" bestFit="1" customWidth="1"/>
    <col min="5634" max="5634" width="1.5703125" style="2" customWidth="1"/>
    <col min="5635" max="5635" width="9.42578125" style="2" bestFit="1" customWidth="1"/>
    <col min="5636" max="5636" width="15" style="2" customWidth="1"/>
    <col min="5637" max="5637" width="32.5703125" style="2" customWidth="1"/>
    <col min="5638" max="5638" width="10" style="2" bestFit="1" customWidth="1"/>
    <col min="5639" max="5639" width="10.140625" style="2" bestFit="1" customWidth="1"/>
    <col min="5640" max="5640" width="9.42578125" style="2" bestFit="1" customWidth="1"/>
    <col min="5641" max="5880" width="9.140625" style="2"/>
    <col min="5881" max="5881" width="20.5703125" style="2" customWidth="1"/>
    <col min="5882" max="5882" width="1.5703125" style="2" customWidth="1"/>
    <col min="5883" max="5883" width="4.5703125" style="2" customWidth="1"/>
    <col min="5884" max="5884" width="11.5703125" style="2" customWidth="1"/>
    <col min="5885" max="5885" width="45.5703125" style="2" customWidth="1"/>
    <col min="5886" max="5886" width="7.5703125" style="2" customWidth="1"/>
    <col min="5887" max="5888" width="12.5703125" style="2" customWidth="1"/>
    <col min="5889" max="5889" width="18.42578125" style="2" bestFit="1" customWidth="1"/>
    <col min="5890" max="5890" width="1.5703125" style="2" customWidth="1"/>
    <col min="5891" max="5891" width="9.42578125" style="2" bestFit="1" customWidth="1"/>
    <col min="5892" max="5892" width="15" style="2" customWidth="1"/>
    <col min="5893" max="5893" width="32.5703125" style="2" customWidth="1"/>
    <col min="5894" max="5894" width="10" style="2" bestFit="1" customWidth="1"/>
    <col min="5895" max="5895" width="10.140625" style="2" bestFit="1" customWidth="1"/>
    <col min="5896" max="5896" width="9.42578125" style="2" bestFit="1" customWidth="1"/>
    <col min="5897" max="6136" width="9.140625" style="2"/>
    <col min="6137" max="6137" width="20.5703125" style="2" customWidth="1"/>
    <col min="6138" max="6138" width="1.5703125" style="2" customWidth="1"/>
    <col min="6139" max="6139" width="4.5703125" style="2" customWidth="1"/>
    <col min="6140" max="6140" width="11.5703125" style="2" customWidth="1"/>
    <col min="6141" max="6141" width="45.5703125" style="2" customWidth="1"/>
    <col min="6142" max="6142" width="7.5703125" style="2" customWidth="1"/>
    <col min="6143" max="6144" width="12.5703125" style="2" customWidth="1"/>
    <col min="6145" max="6145" width="18.42578125" style="2" bestFit="1" customWidth="1"/>
    <col min="6146" max="6146" width="1.5703125" style="2" customWidth="1"/>
    <col min="6147" max="6147" width="9.42578125" style="2" bestFit="1" customWidth="1"/>
    <col min="6148" max="6148" width="15" style="2" customWidth="1"/>
    <col min="6149" max="6149" width="32.5703125" style="2" customWidth="1"/>
    <col min="6150" max="6150" width="10" style="2" bestFit="1" customWidth="1"/>
    <col min="6151" max="6151" width="10.140625" style="2" bestFit="1" customWidth="1"/>
    <col min="6152" max="6152" width="9.42578125" style="2" bestFit="1" customWidth="1"/>
    <col min="6153" max="6392" width="9.140625" style="2"/>
    <col min="6393" max="6393" width="20.5703125" style="2" customWidth="1"/>
    <col min="6394" max="6394" width="1.5703125" style="2" customWidth="1"/>
    <col min="6395" max="6395" width="4.5703125" style="2" customWidth="1"/>
    <col min="6396" max="6396" width="11.5703125" style="2" customWidth="1"/>
    <col min="6397" max="6397" width="45.5703125" style="2" customWidth="1"/>
    <col min="6398" max="6398" width="7.5703125" style="2" customWidth="1"/>
    <col min="6399" max="6400" width="12.5703125" style="2" customWidth="1"/>
    <col min="6401" max="6401" width="18.42578125" style="2" bestFit="1" customWidth="1"/>
    <col min="6402" max="6402" width="1.5703125" style="2" customWidth="1"/>
    <col min="6403" max="6403" width="9.42578125" style="2" bestFit="1" customWidth="1"/>
    <col min="6404" max="6404" width="15" style="2" customWidth="1"/>
    <col min="6405" max="6405" width="32.5703125" style="2" customWidth="1"/>
    <col min="6406" max="6406" width="10" style="2" bestFit="1" customWidth="1"/>
    <col min="6407" max="6407" width="10.140625" style="2" bestFit="1" customWidth="1"/>
    <col min="6408" max="6408" width="9.42578125" style="2" bestFit="1" customWidth="1"/>
    <col min="6409" max="6648" width="9.140625" style="2"/>
    <col min="6649" max="6649" width="20.5703125" style="2" customWidth="1"/>
    <col min="6650" max="6650" width="1.5703125" style="2" customWidth="1"/>
    <col min="6651" max="6651" width="4.5703125" style="2" customWidth="1"/>
    <col min="6652" max="6652" width="11.5703125" style="2" customWidth="1"/>
    <col min="6653" max="6653" width="45.5703125" style="2" customWidth="1"/>
    <col min="6654" max="6654" width="7.5703125" style="2" customWidth="1"/>
    <col min="6655" max="6656" width="12.5703125" style="2" customWidth="1"/>
    <col min="6657" max="6657" width="18.42578125" style="2" bestFit="1" customWidth="1"/>
    <col min="6658" max="6658" width="1.5703125" style="2" customWidth="1"/>
    <col min="6659" max="6659" width="9.42578125" style="2" bestFit="1" customWidth="1"/>
    <col min="6660" max="6660" width="15" style="2" customWidth="1"/>
    <col min="6661" max="6661" width="32.5703125" style="2" customWidth="1"/>
    <col min="6662" max="6662" width="10" style="2" bestFit="1" customWidth="1"/>
    <col min="6663" max="6663" width="10.140625" style="2" bestFit="1" customWidth="1"/>
    <col min="6664" max="6664" width="9.42578125" style="2" bestFit="1" customWidth="1"/>
    <col min="6665" max="6904" width="9.140625" style="2"/>
    <col min="6905" max="6905" width="20.5703125" style="2" customWidth="1"/>
    <col min="6906" max="6906" width="1.5703125" style="2" customWidth="1"/>
    <col min="6907" max="6907" width="4.5703125" style="2" customWidth="1"/>
    <col min="6908" max="6908" width="11.5703125" style="2" customWidth="1"/>
    <col min="6909" max="6909" width="45.5703125" style="2" customWidth="1"/>
    <col min="6910" max="6910" width="7.5703125" style="2" customWidth="1"/>
    <col min="6911" max="6912" width="12.5703125" style="2" customWidth="1"/>
    <col min="6913" max="6913" width="18.42578125" style="2" bestFit="1" customWidth="1"/>
    <col min="6914" max="6914" width="1.5703125" style="2" customWidth="1"/>
    <col min="6915" max="6915" width="9.42578125" style="2" bestFit="1" customWidth="1"/>
    <col min="6916" max="6916" width="15" style="2" customWidth="1"/>
    <col min="6917" max="6917" width="32.5703125" style="2" customWidth="1"/>
    <col min="6918" max="6918" width="10" style="2" bestFit="1" customWidth="1"/>
    <col min="6919" max="6919" width="10.140625" style="2" bestFit="1" customWidth="1"/>
    <col min="6920" max="6920" width="9.42578125" style="2" bestFit="1" customWidth="1"/>
    <col min="6921" max="7160" width="9.140625" style="2"/>
    <col min="7161" max="7161" width="20.5703125" style="2" customWidth="1"/>
    <col min="7162" max="7162" width="1.5703125" style="2" customWidth="1"/>
    <col min="7163" max="7163" width="4.5703125" style="2" customWidth="1"/>
    <col min="7164" max="7164" width="11.5703125" style="2" customWidth="1"/>
    <col min="7165" max="7165" width="45.5703125" style="2" customWidth="1"/>
    <col min="7166" max="7166" width="7.5703125" style="2" customWidth="1"/>
    <col min="7167" max="7168" width="12.5703125" style="2" customWidth="1"/>
    <col min="7169" max="7169" width="18.42578125" style="2" bestFit="1" customWidth="1"/>
    <col min="7170" max="7170" width="1.5703125" style="2" customWidth="1"/>
    <col min="7171" max="7171" width="9.42578125" style="2" bestFit="1" customWidth="1"/>
    <col min="7172" max="7172" width="15" style="2" customWidth="1"/>
    <col min="7173" max="7173" width="32.5703125" style="2" customWidth="1"/>
    <col min="7174" max="7174" width="10" style="2" bestFit="1" customWidth="1"/>
    <col min="7175" max="7175" width="10.140625" style="2" bestFit="1" customWidth="1"/>
    <col min="7176" max="7176" width="9.42578125" style="2" bestFit="1" customWidth="1"/>
    <col min="7177" max="7416" width="9.140625" style="2"/>
    <col min="7417" max="7417" width="20.5703125" style="2" customWidth="1"/>
    <col min="7418" max="7418" width="1.5703125" style="2" customWidth="1"/>
    <col min="7419" max="7419" width="4.5703125" style="2" customWidth="1"/>
    <col min="7420" max="7420" width="11.5703125" style="2" customWidth="1"/>
    <col min="7421" max="7421" width="45.5703125" style="2" customWidth="1"/>
    <col min="7422" max="7422" width="7.5703125" style="2" customWidth="1"/>
    <col min="7423" max="7424" width="12.5703125" style="2" customWidth="1"/>
    <col min="7425" max="7425" width="18.42578125" style="2" bestFit="1" customWidth="1"/>
    <col min="7426" max="7426" width="1.5703125" style="2" customWidth="1"/>
    <col min="7427" max="7427" width="9.42578125" style="2" bestFit="1" customWidth="1"/>
    <col min="7428" max="7428" width="15" style="2" customWidth="1"/>
    <col min="7429" max="7429" width="32.5703125" style="2" customWidth="1"/>
    <col min="7430" max="7430" width="10" style="2" bestFit="1" customWidth="1"/>
    <col min="7431" max="7431" width="10.140625" style="2" bestFit="1" customWidth="1"/>
    <col min="7432" max="7432" width="9.42578125" style="2" bestFit="1" customWidth="1"/>
    <col min="7433" max="7672" width="9.140625" style="2"/>
    <col min="7673" max="7673" width="20.5703125" style="2" customWidth="1"/>
    <col min="7674" max="7674" width="1.5703125" style="2" customWidth="1"/>
    <col min="7675" max="7675" width="4.5703125" style="2" customWidth="1"/>
    <col min="7676" max="7676" width="11.5703125" style="2" customWidth="1"/>
    <col min="7677" max="7677" width="45.5703125" style="2" customWidth="1"/>
    <col min="7678" max="7678" width="7.5703125" style="2" customWidth="1"/>
    <col min="7679" max="7680" width="12.5703125" style="2" customWidth="1"/>
    <col min="7681" max="7681" width="18.42578125" style="2" bestFit="1" customWidth="1"/>
    <col min="7682" max="7682" width="1.5703125" style="2" customWidth="1"/>
    <col min="7683" max="7683" width="9.42578125" style="2" bestFit="1" customWidth="1"/>
    <col min="7684" max="7684" width="15" style="2" customWidth="1"/>
    <col min="7685" max="7685" width="32.5703125" style="2" customWidth="1"/>
    <col min="7686" max="7686" width="10" style="2" bestFit="1" customWidth="1"/>
    <col min="7687" max="7687" width="10.140625" style="2" bestFit="1" customWidth="1"/>
    <col min="7688" max="7688" width="9.42578125" style="2" bestFit="1" customWidth="1"/>
    <col min="7689" max="7928" width="9.140625" style="2"/>
    <col min="7929" max="7929" width="20.5703125" style="2" customWidth="1"/>
    <col min="7930" max="7930" width="1.5703125" style="2" customWidth="1"/>
    <col min="7931" max="7931" width="4.5703125" style="2" customWidth="1"/>
    <col min="7932" max="7932" width="11.5703125" style="2" customWidth="1"/>
    <col min="7933" max="7933" width="45.5703125" style="2" customWidth="1"/>
    <col min="7934" max="7934" width="7.5703125" style="2" customWidth="1"/>
    <col min="7935" max="7936" width="12.5703125" style="2" customWidth="1"/>
    <col min="7937" max="7937" width="18.42578125" style="2" bestFit="1" customWidth="1"/>
    <col min="7938" max="7938" width="1.5703125" style="2" customWidth="1"/>
    <col min="7939" max="7939" width="9.42578125" style="2" bestFit="1" customWidth="1"/>
    <col min="7940" max="7940" width="15" style="2" customWidth="1"/>
    <col min="7941" max="7941" width="32.5703125" style="2" customWidth="1"/>
    <col min="7942" max="7942" width="10" style="2" bestFit="1" customWidth="1"/>
    <col min="7943" max="7943" width="10.140625" style="2" bestFit="1" customWidth="1"/>
    <col min="7944" max="7944" width="9.42578125" style="2" bestFit="1" customWidth="1"/>
    <col min="7945" max="8184" width="9.140625" style="2"/>
    <col min="8185" max="8185" width="20.5703125" style="2" customWidth="1"/>
    <col min="8186" max="8186" width="1.5703125" style="2" customWidth="1"/>
    <col min="8187" max="8187" width="4.5703125" style="2" customWidth="1"/>
    <col min="8188" max="8188" width="11.5703125" style="2" customWidth="1"/>
    <col min="8189" max="8189" width="45.5703125" style="2" customWidth="1"/>
    <col min="8190" max="8190" width="7.5703125" style="2" customWidth="1"/>
    <col min="8191" max="8192" width="12.5703125" style="2" customWidth="1"/>
    <col min="8193" max="8193" width="18.42578125" style="2" bestFit="1" customWidth="1"/>
    <col min="8194" max="8194" width="1.5703125" style="2" customWidth="1"/>
    <col min="8195" max="8195" width="9.42578125" style="2" bestFit="1" customWidth="1"/>
    <col min="8196" max="8196" width="15" style="2" customWidth="1"/>
    <col min="8197" max="8197" width="32.5703125" style="2" customWidth="1"/>
    <col min="8198" max="8198" width="10" style="2" bestFit="1" customWidth="1"/>
    <col min="8199" max="8199" width="10.140625" style="2" bestFit="1" customWidth="1"/>
    <col min="8200" max="8200" width="9.42578125" style="2" bestFit="1" customWidth="1"/>
    <col min="8201" max="8440" width="9.140625" style="2"/>
    <col min="8441" max="8441" width="20.5703125" style="2" customWidth="1"/>
    <col min="8442" max="8442" width="1.5703125" style="2" customWidth="1"/>
    <col min="8443" max="8443" width="4.5703125" style="2" customWidth="1"/>
    <col min="8444" max="8444" width="11.5703125" style="2" customWidth="1"/>
    <col min="8445" max="8445" width="45.5703125" style="2" customWidth="1"/>
    <col min="8446" max="8446" width="7.5703125" style="2" customWidth="1"/>
    <col min="8447" max="8448" width="12.5703125" style="2" customWidth="1"/>
    <col min="8449" max="8449" width="18.42578125" style="2" bestFit="1" customWidth="1"/>
    <col min="8450" max="8450" width="1.5703125" style="2" customWidth="1"/>
    <col min="8451" max="8451" width="9.42578125" style="2" bestFit="1" customWidth="1"/>
    <col min="8452" max="8452" width="15" style="2" customWidth="1"/>
    <col min="8453" max="8453" width="32.5703125" style="2" customWidth="1"/>
    <col min="8454" max="8454" width="10" style="2" bestFit="1" customWidth="1"/>
    <col min="8455" max="8455" width="10.140625" style="2" bestFit="1" customWidth="1"/>
    <col min="8456" max="8456" width="9.42578125" style="2" bestFit="1" customWidth="1"/>
    <col min="8457" max="8696" width="9.140625" style="2"/>
    <col min="8697" max="8697" width="20.5703125" style="2" customWidth="1"/>
    <col min="8698" max="8698" width="1.5703125" style="2" customWidth="1"/>
    <col min="8699" max="8699" width="4.5703125" style="2" customWidth="1"/>
    <col min="8700" max="8700" width="11.5703125" style="2" customWidth="1"/>
    <col min="8701" max="8701" width="45.5703125" style="2" customWidth="1"/>
    <col min="8702" max="8702" width="7.5703125" style="2" customWidth="1"/>
    <col min="8703" max="8704" width="12.5703125" style="2" customWidth="1"/>
    <col min="8705" max="8705" width="18.42578125" style="2" bestFit="1" customWidth="1"/>
    <col min="8706" max="8706" width="1.5703125" style="2" customWidth="1"/>
    <col min="8707" max="8707" width="9.42578125" style="2" bestFit="1" customWidth="1"/>
    <col min="8708" max="8708" width="15" style="2" customWidth="1"/>
    <col min="8709" max="8709" width="32.5703125" style="2" customWidth="1"/>
    <col min="8710" max="8710" width="10" style="2" bestFit="1" customWidth="1"/>
    <col min="8711" max="8711" width="10.140625" style="2" bestFit="1" customWidth="1"/>
    <col min="8712" max="8712" width="9.42578125" style="2" bestFit="1" customWidth="1"/>
    <col min="8713" max="8952" width="9.140625" style="2"/>
    <col min="8953" max="8953" width="20.5703125" style="2" customWidth="1"/>
    <col min="8954" max="8954" width="1.5703125" style="2" customWidth="1"/>
    <col min="8955" max="8955" width="4.5703125" style="2" customWidth="1"/>
    <col min="8956" max="8956" width="11.5703125" style="2" customWidth="1"/>
    <col min="8957" max="8957" width="45.5703125" style="2" customWidth="1"/>
    <col min="8958" max="8958" width="7.5703125" style="2" customWidth="1"/>
    <col min="8959" max="8960" width="12.5703125" style="2" customWidth="1"/>
    <col min="8961" max="8961" width="18.42578125" style="2" bestFit="1" customWidth="1"/>
    <col min="8962" max="8962" width="1.5703125" style="2" customWidth="1"/>
    <col min="8963" max="8963" width="9.42578125" style="2" bestFit="1" customWidth="1"/>
    <col min="8964" max="8964" width="15" style="2" customWidth="1"/>
    <col min="8965" max="8965" width="32.5703125" style="2" customWidth="1"/>
    <col min="8966" max="8966" width="10" style="2" bestFit="1" customWidth="1"/>
    <col min="8967" max="8967" width="10.140625" style="2" bestFit="1" customWidth="1"/>
    <col min="8968" max="8968" width="9.42578125" style="2" bestFit="1" customWidth="1"/>
    <col min="8969" max="9208" width="9.140625" style="2"/>
    <col min="9209" max="9209" width="20.5703125" style="2" customWidth="1"/>
    <col min="9210" max="9210" width="1.5703125" style="2" customWidth="1"/>
    <col min="9211" max="9211" width="4.5703125" style="2" customWidth="1"/>
    <col min="9212" max="9212" width="11.5703125" style="2" customWidth="1"/>
    <col min="9213" max="9213" width="45.5703125" style="2" customWidth="1"/>
    <col min="9214" max="9214" width="7.5703125" style="2" customWidth="1"/>
    <col min="9215" max="9216" width="12.5703125" style="2" customWidth="1"/>
    <col min="9217" max="9217" width="18.42578125" style="2" bestFit="1" customWidth="1"/>
    <col min="9218" max="9218" width="1.5703125" style="2" customWidth="1"/>
    <col min="9219" max="9219" width="9.42578125" style="2" bestFit="1" customWidth="1"/>
    <col min="9220" max="9220" width="15" style="2" customWidth="1"/>
    <col min="9221" max="9221" width="32.5703125" style="2" customWidth="1"/>
    <col min="9222" max="9222" width="10" style="2" bestFit="1" customWidth="1"/>
    <col min="9223" max="9223" width="10.140625" style="2" bestFit="1" customWidth="1"/>
    <col min="9224" max="9224" width="9.42578125" style="2" bestFit="1" customWidth="1"/>
    <col min="9225" max="9464" width="9.140625" style="2"/>
    <col min="9465" max="9465" width="20.5703125" style="2" customWidth="1"/>
    <col min="9466" max="9466" width="1.5703125" style="2" customWidth="1"/>
    <col min="9467" max="9467" width="4.5703125" style="2" customWidth="1"/>
    <col min="9468" max="9468" width="11.5703125" style="2" customWidth="1"/>
    <col min="9469" max="9469" width="45.5703125" style="2" customWidth="1"/>
    <col min="9470" max="9470" width="7.5703125" style="2" customWidth="1"/>
    <col min="9471" max="9472" width="12.5703125" style="2" customWidth="1"/>
    <col min="9473" max="9473" width="18.42578125" style="2" bestFit="1" customWidth="1"/>
    <col min="9474" max="9474" width="1.5703125" style="2" customWidth="1"/>
    <col min="9475" max="9475" width="9.42578125" style="2" bestFit="1" customWidth="1"/>
    <col min="9476" max="9476" width="15" style="2" customWidth="1"/>
    <col min="9477" max="9477" width="32.5703125" style="2" customWidth="1"/>
    <col min="9478" max="9478" width="10" style="2" bestFit="1" customWidth="1"/>
    <col min="9479" max="9479" width="10.140625" style="2" bestFit="1" customWidth="1"/>
    <col min="9480" max="9480" width="9.42578125" style="2" bestFit="1" customWidth="1"/>
    <col min="9481" max="9720" width="9.140625" style="2"/>
    <col min="9721" max="9721" width="20.5703125" style="2" customWidth="1"/>
    <col min="9722" max="9722" width="1.5703125" style="2" customWidth="1"/>
    <col min="9723" max="9723" width="4.5703125" style="2" customWidth="1"/>
    <col min="9724" max="9724" width="11.5703125" style="2" customWidth="1"/>
    <col min="9725" max="9725" width="45.5703125" style="2" customWidth="1"/>
    <col min="9726" max="9726" width="7.5703125" style="2" customWidth="1"/>
    <col min="9727" max="9728" width="12.5703125" style="2" customWidth="1"/>
    <col min="9729" max="9729" width="18.42578125" style="2" bestFit="1" customWidth="1"/>
    <col min="9730" max="9730" width="1.5703125" style="2" customWidth="1"/>
    <col min="9731" max="9731" width="9.42578125" style="2" bestFit="1" customWidth="1"/>
    <col min="9732" max="9732" width="15" style="2" customWidth="1"/>
    <col min="9733" max="9733" width="32.5703125" style="2" customWidth="1"/>
    <col min="9734" max="9734" width="10" style="2" bestFit="1" customWidth="1"/>
    <col min="9735" max="9735" width="10.140625" style="2" bestFit="1" customWidth="1"/>
    <col min="9736" max="9736" width="9.42578125" style="2" bestFit="1" customWidth="1"/>
    <col min="9737" max="9976" width="9.140625" style="2"/>
    <col min="9977" max="9977" width="20.5703125" style="2" customWidth="1"/>
    <col min="9978" max="9978" width="1.5703125" style="2" customWidth="1"/>
    <col min="9979" max="9979" width="4.5703125" style="2" customWidth="1"/>
    <col min="9980" max="9980" width="11.5703125" style="2" customWidth="1"/>
    <col min="9981" max="9981" width="45.5703125" style="2" customWidth="1"/>
    <col min="9982" max="9982" width="7.5703125" style="2" customWidth="1"/>
    <col min="9983" max="9984" width="12.5703125" style="2" customWidth="1"/>
    <col min="9985" max="9985" width="18.42578125" style="2" bestFit="1" customWidth="1"/>
    <col min="9986" max="9986" width="1.5703125" style="2" customWidth="1"/>
    <col min="9987" max="9987" width="9.42578125" style="2" bestFit="1" customWidth="1"/>
    <col min="9988" max="9988" width="15" style="2" customWidth="1"/>
    <col min="9989" max="9989" width="32.5703125" style="2" customWidth="1"/>
    <col min="9990" max="9990" width="10" style="2" bestFit="1" customWidth="1"/>
    <col min="9991" max="9991" width="10.140625" style="2" bestFit="1" customWidth="1"/>
    <col min="9992" max="9992" width="9.42578125" style="2" bestFit="1" customWidth="1"/>
    <col min="9993" max="10232" width="9.140625" style="2"/>
    <col min="10233" max="10233" width="20.5703125" style="2" customWidth="1"/>
    <col min="10234" max="10234" width="1.5703125" style="2" customWidth="1"/>
    <col min="10235" max="10235" width="4.5703125" style="2" customWidth="1"/>
    <col min="10236" max="10236" width="11.5703125" style="2" customWidth="1"/>
    <col min="10237" max="10237" width="45.5703125" style="2" customWidth="1"/>
    <col min="10238" max="10238" width="7.5703125" style="2" customWidth="1"/>
    <col min="10239" max="10240" width="12.5703125" style="2" customWidth="1"/>
    <col min="10241" max="10241" width="18.42578125" style="2" bestFit="1" customWidth="1"/>
    <col min="10242" max="10242" width="1.5703125" style="2" customWidth="1"/>
    <col min="10243" max="10243" width="9.42578125" style="2" bestFit="1" customWidth="1"/>
    <col min="10244" max="10244" width="15" style="2" customWidth="1"/>
    <col min="10245" max="10245" width="32.5703125" style="2" customWidth="1"/>
    <col min="10246" max="10246" width="10" style="2" bestFit="1" customWidth="1"/>
    <col min="10247" max="10247" width="10.140625" style="2" bestFit="1" customWidth="1"/>
    <col min="10248" max="10248" width="9.42578125" style="2" bestFit="1" customWidth="1"/>
    <col min="10249" max="10488" width="9.140625" style="2"/>
    <col min="10489" max="10489" width="20.5703125" style="2" customWidth="1"/>
    <col min="10490" max="10490" width="1.5703125" style="2" customWidth="1"/>
    <col min="10491" max="10491" width="4.5703125" style="2" customWidth="1"/>
    <col min="10492" max="10492" width="11.5703125" style="2" customWidth="1"/>
    <col min="10493" max="10493" width="45.5703125" style="2" customWidth="1"/>
    <col min="10494" max="10494" width="7.5703125" style="2" customWidth="1"/>
    <col min="10495" max="10496" width="12.5703125" style="2" customWidth="1"/>
    <col min="10497" max="10497" width="18.42578125" style="2" bestFit="1" customWidth="1"/>
    <col min="10498" max="10498" width="1.5703125" style="2" customWidth="1"/>
    <col min="10499" max="10499" width="9.42578125" style="2" bestFit="1" customWidth="1"/>
    <col min="10500" max="10500" width="15" style="2" customWidth="1"/>
    <col min="10501" max="10501" width="32.5703125" style="2" customWidth="1"/>
    <col min="10502" max="10502" width="10" style="2" bestFit="1" customWidth="1"/>
    <col min="10503" max="10503" width="10.140625" style="2" bestFit="1" customWidth="1"/>
    <col min="10504" max="10504" width="9.42578125" style="2" bestFit="1" customWidth="1"/>
    <col min="10505" max="10744" width="9.140625" style="2"/>
    <col min="10745" max="10745" width="20.5703125" style="2" customWidth="1"/>
    <col min="10746" max="10746" width="1.5703125" style="2" customWidth="1"/>
    <col min="10747" max="10747" width="4.5703125" style="2" customWidth="1"/>
    <col min="10748" max="10748" width="11.5703125" style="2" customWidth="1"/>
    <col min="10749" max="10749" width="45.5703125" style="2" customWidth="1"/>
    <col min="10750" max="10750" width="7.5703125" style="2" customWidth="1"/>
    <col min="10751" max="10752" width="12.5703125" style="2" customWidth="1"/>
    <col min="10753" max="10753" width="18.42578125" style="2" bestFit="1" customWidth="1"/>
    <col min="10754" max="10754" width="1.5703125" style="2" customWidth="1"/>
    <col min="10755" max="10755" width="9.42578125" style="2" bestFit="1" customWidth="1"/>
    <col min="10756" max="10756" width="15" style="2" customWidth="1"/>
    <col min="10757" max="10757" width="32.5703125" style="2" customWidth="1"/>
    <col min="10758" max="10758" width="10" style="2" bestFit="1" customWidth="1"/>
    <col min="10759" max="10759" width="10.140625" style="2" bestFit="1" customWidth="1"/>
    <col min="10760" max="10760" width="9.42578125" style="2" bestFit="1" customWidth="1"/>
    <col min="10761" max="11000" width="9.140625" style="2"/>
    <col min="11001" max="11001" width="20.5703125" style="2" customWidth="1"/>
    <col min="11002" max="11002" width="1.5703125" style="2" customWidth="1"/>
    <col min="11003" max="11003" width="4.5703125" style="2" customWidth="1"/>
    <col min="11004" max="11004" width="11.5703125" style="2" customWidth="1"/>
    <col min="11005" max="11005" width="45.5703125" style="2" customWidth="1"/>
    <col min="11006" max="11006" width="7.5703125" style="2" customWidth="1"/>
    <col min="11007" max="11008" width="12.5703125" style="2" customWidth="1"/>
    <col min="11009" max="11009" width="18.42578125" style="2" bestFit="1" customWidth="1"/>
    <col min="11010" max="11010" width="1.5703125" style="2" customWidth="1"/>
    <col min="11011" max="11011" width="9.42578125" style="2" bestFit="1" customWidth="1"/>
    <col min="11012" max="11012" width="15" style="2" customWidth="1"/>
    <col min="11013" max="11013" width="32.5703125" style="2" customWidth="1"/>
    <col min="11014" max="11014" width="10" style="2" bestFit="1" customWidth="1"/>
    <col min="11015" max="11015" width="10.140625" style="2" bestFit="1" customWidth="1"/>
    <col min="11016" max="11016" width="9.42578125" style="2" bestFit="1" customWidth="1"/>
    <col min="11017" max="11256" width="9.140625" style="2"/>
    <col min="11257" max="11257" width="20.5703125" style="2" customWidth="1"/>
    <col min="11258" max="11258" width="1.5703125" style="2" customWidth="1"/>
    <col min="11259" max="11259" width="4.5703125" style="2" customWidth="1"/>
    <col min="11260" max="11260" width="11.5703125" style="2" customWidth="1"/>
    <col min="11261" max="11261" width="45.5703125" style="2" customWidth="1"/>
    <col min="11262" max="11262" width="7.5703125" style="2" customWidth="1"/>
    <col min="11263" max="11264" width="12.5703125" style="2" customWidth="1"/>
    <col min="11265" max="11265" width="18.42578125" style="2" bestFit="1" customWidth="1"/>
    <col min="11266" max="11266" width="1.5703125" style="2" customWidth="1"/>
    <col min="11267" max="11267" width="9.42578125" style="2" bestFit="1" customWidth="1"/>
    <col min="11268" max="11268" width="15" style="2" customWidth="1"/>
    <col min="11269" max="11269" width="32.5703125" style="2" customWidth="1"/>
    <col min="11270" max="11270" width="10" style="2" bestFit="1" customWidth="1"/>
    <col min="11271" max="11271" width="10.140625" style="2" bestFit="1" customWidth="1"/>
    <col min="11272" max="11272" width="9.42578125" style="2" bestFit="1" customWidth="1"/>
    <col min="11273" max="11512" width="9.140625" style="2"/>
    <col min="11513" max="11513" width="20.5703125" style="2" customWidth="1"/>
    <col min="11514" max="11514" width="1.5703125" style="2" customWidth="1"/>
    <col min="11515" max="11515" width="4.5703125" style="2" customWidth="1"/>
    <col min="11516" max="11516" width="11.5703125" style="2" customWidth="1"/>
    <col min="11517" max="11517" width="45.5703125" style="2" customWidth="1"/>
    <col min="11518" max="11518" width="7.5703125" style="2" customWidth="1"/>
    <col min="11519" max="11520" width="12.5703125" style="2" customWidth="1"/>
    <col min="11521" max="11521" width="18.42578125" style="2" bestFit="1" customWidth="1"/>
    <col min="11522" max="11522" width="1.5703125" style="2" customWidth="1"/>
    <col min="11523" max="11523" width="9.42578125" style="2" bestFit="1" customWidth="1"/>
    <col min="11524" max="11524" width="15" style="2" customWidth="1"/>
    <col min="11525" max="11525" width="32.5703125" style="2" customWidth="1"/>
    <col min="11526" max="11526" width="10" style="2" bestFit="1" customWidth="1"/>
    <col min="11527" max="11527" width="10.140625" style="2" bestFit="1" customWidth="1"/>
    <col min="11528" max="11528" width="9.42578125" style="2" bestFit="1" customWidth="1"/>
    <col min="11529" max="11768" width="9.140625" style="2"/>
    <col min="11769" max="11769" width="20.5703125" style="2" customWidth="1"/>
    <col min="11770" max="11770" width="1.5703125" style="2" customWidth="1"/>
    <col min="11771" max="11771" width="4.5703125" style="2" customWidth="1"/>
    <col min="11772" max="11772" width="11.5703125" style="2" customWidth="1"/>
    <col min="11773" max="11773" width="45.5703125" style="2" customWidth="1"/>
    <col min="11774" max="11774" width="7.5703125" style="2" customWidth="1"/>
    <col min="11775" max="11776" width="12.5703125" style="2" customWidth="1"/>
    <col min="11777" max="11777" width="18.42578125" style="2" bestFit="1" customWidth="1"/>
    <col min="11778" max="11778" width="1.5703125" style="2" customWidth="1"/>
    <col min="11779" max="11779" width="9.42578125" style="2" bestFit="1" customWidth="1"/>
    <col min="11780" max="11780" width="15" style="2" customWidth="1"/>
    <col min="11781" max="11781" width="32.5703125" style="2" customWidth="1"/>
    <col min="11782" max="11782" width="10" style="2" bestFit="1" customWidth="1"/>
    <col min="11783" max="11783" width="10.140625" style="2" bestFit="1" customWidth="1"/>
    <col min="11784" max="11784" width="9.42578125" style="2" bestFit="1" customWidth="1"/>
    <col min="11785" max="12024" width="9.140625" style="2"/>
    <col min="12025" max="12025" width="20.5703125" style="2" customWidth="1"/>
    <col min="12026" max="12026" width="1.5703125" style="2" customWidth="1"/>
    <col min="12027" max="12027" width="4.5703125" style="2" customWidth="1"/>
    <col min="12028" max="12028" width="11.5703125" style="2" customWidth="1"/>
    <col min="12029" max="12029" width="45.5703125" style="2" customWidth="1"/>
    <col min="12030" max="12030" width="7.5703125" style="2" customWidth="1"/>
    <col min="12031" max="12032" width="12.5703125" style="2" customWidth="1"/>
    <col min="12033" max="12033" width="18.42578125" style="2" bestFit="1" customWidth="1"/>
    <col min="12034" max="12034" width="1.5703125" style="2" customWidth="1"/>
    <col min="12035" max="12035" width="9.42578125" style="2" bestFit="1" customWidth="1"/>
    <col min="12036" max="12036" width="15" style="2" customWidth="1"/>
    <col min="12037" max="12037" width="32.5703125" style="2" customWidth="1"/>
    <col min="12038" max="12038" width="10" style="2" bestFit="1" customWidth="1"/>
    <col min="12039" max="12039" width="10.140625" style="2" bestFit="1" customWidth="1"/>
    <col min="12040" max="12040" width="9.42578125" style="2" bestFit="1" customWidth="1"/>
    <col min="12041" max="12280" width="9.140625" style="2"/>
    <col min="12281" max="12281" width="20.5703125" style="2" customWidth="1"/>
    <col min="12282" max="12282" width="1.5703125" style="2" customWidth="1"/>
    <col min="12283" max="12283" width="4.5703125" style="2" customWidth="1"/>
    <col min="12284" max="12284" width="11.5703125" style="2" customWidth="1"/>
    <col min="12285" max="12285" width="45.5703125" style="2" customWidth="1"/>
    <col min="12286" max="12286" width="7.5703125" style="2" customWidth="1"/>
    <col min="12287" max="12288" width="12.5703125" style="2" customWidth="1"/>
    <col min="12289" max="12289" width="18.42578125" style="2" bestFit="1" customWidth="1"/>
    <col min="12290" max="12290" width="1.5703125" style="2" customWidth="1"/>
    <col min="12291" max="12291" width="9.42578125" style="2" bestFit="1" customWidth="1"/>
    <col min="12292" max="12292" width="15" style="2" customWidth="1"/>
    <col min="12293" max="12293" width="32.5703125" style="2" customWidth="1"/>
    <col min="12294" max="12294" width="10" style="2" bestFit="1" customWidth="1"/>
    <col min="12295" max="12295" width="10.140625" style="2" bestFit="1" customWidth="1"/>
    <col min="12296" max="12296" width="9.42578125" style="2" bestFit="1" customWidth="1"/>
    <col min="12297" max="12536" width="9.140625" style="2"/>
    <col min="12537" max="12537" width="20.5703125" style="2" customWidth="1"/>
    <col min="12538" max="12538" width="1.5703125" style="2" customWidth="1"/>
    <col min="12539" max="12539" width="4.5703125" style="2" customWidth="1"/>
    <col min="12540" max="12540" width="11.5703125" style="2" customWidth="1"/>
    <col min="12541" max="12541" width="45.5703125" style="2" customWidth="1"/>
    <col min="12542" max="12542" width="7.5703125" style="2" customWidth="1"/>
    <col min="12543" max="12544" width="12.5703125" style="2" customWidth="1"/>
    <col min="12545" max="12545" width="18.42578125" style="2" bestFit="1" customWidth="1"/>
    <col min="12546" max="12546" width="1.5703125" style="2" customWidth="1"/>
    <col min="12547" max="12547" width="9.42578125" style="2" bestFit="1" customWidth="1"/>
    <col min="12548" max="12548" width="15" style="2" customWidth="1"/>
    <col min="12549" max="12549" width="32.5703125" style="2" customWidth="1"/>
    <col min="12550" max="12550" width="10" style="2" bestFit="1" customWidth="1"/>
    <col min="12551" max="12551" width="10.140625" style="2" bestFit="1" customWidth="1"/>
    <col min="12552" max="12552" width="9.42578125" style="2" bestFit="1" customWidth="1"/>
    <col min="12553" max="12792" width="9.140625" style="2"/>
    <col min="12793" max="12793" width="20.5703125" style="2" customWidth="1"/>
    <col min="12794" max="12794" width="1.5703125" style="2" customWidth="1"/>
    <col min="12795" max="12795" width="4.5703125" style="2" customWidth="1"/>
    <col min="12796" max="12796" width="11.5703125" style="2" customWidth="1"/>
    <col min="12797" max="12797" width="45.5703125" style="2" customWidth="1"/>
    <col min="12798" max="12798" width="7.5703125" style="2" customWidth="1"/>
    <col min="12799" max="12800" width="12.5703125" style="2" customWidth="1"/>
    <col min="12801" max="12801" width="18.42578125" style="2" bestFit="1" customWidth="1"/>
    <col min="12802" max="12802" width="1.5703125" style="2" customWidth="1"/>
    <col min="12803" max="12803" width="9.42578125" style="2" bestFit="1" customWidth="1"/>
    <col min="12804" max="12804" width="15" style="2" customWidth="1"/>
    <col min="12805" max="12805" width="32.5703125" style="2" customWidth="1"/>
    <col min="12806" max="12806" width="10" style="2" bestFit="1" customWidth="1"/>
    <col min="12807" max="12807" width="10.140625" style="2" bestFit="1" customWidth="1"/>
    <col min="12808" max="12808" width="9.42578125" style="2" bestFit="1" customWidth="1"/>
    <col min="12809" max="13048" width="9.140625" style="2"/>
    <col min="13049" max="13049" width="20.5703125" style="2" customWidth="1"/>
    <col min="13050" max="13050" width="1.5703125" style="2" customWidth="1"/>
    <col min="13051" max="13051" width="4.5703125" style="2" customWidth="1"/>
    <col min="13052" max="13052" width="11.5703125" style="2" customWidth="1"/>
    <col min="13053" max="13053" width="45.5703125" style="2" customWidth="1"/>
    <col min="13054" max="13054" width="7.5703125" style="2" customWidth="1"/>
    <col min="13055" max="13056" width="12.5703125" style="2" customWidth="1"/>
    <col min="13057" max="13057" width="18.42578125" style="2" bestFit="1" customWidth="1"/>
    <col min="13058" max="13058" width="1.5703125" style="2" customWidth="1"/>
    <col min="13059" max="13059" width="9.42578125" style="2" bestFit="1" customWidth="1"/>
    <col min="13060" max="13060" width="15" style="2" customWidth="1"/>
    <col min="13061" max="13061" width="32.5703125" style="2" customWidth="1"/>
    <col min="13062" max="13062" width="10" style="2" bestFit="1" customWidth="1"/>
    <col min="13063" max="13063" width="10.140625" style="2" bestFit="1" customWidth="1"/>
    <col min="13064" max="13064" width="9.42578125" style="2" bestFit="1" customWidth="1"/>
    <col min="13065" max="13304" width="9.140625" style="2"/>
    <col min="13305" max="13305" width="20.5703125" style="2" customWidth="1"/>
    <col min="13306" max="13306" width="1.5703125" style="2" customWidth="1"/>
    <col min="13307" max="13307" width="4.5703125" style="2" customWidth="1"/>
    <col min="13308" max="13308" width="11.5703125" style="2" customWidth="1"/>
    <col min="13309" max="13309" width="45.5703125" style="2" customWidth="1"/>
    <col min="13310" max="13310" width="7.5703125" style="2" customWidth="1"/>
    <col min="13311" max="13312" width="12.5703125" style="2" customWidth="1"/>
    <col min="13313" max="13313" width="18.42578125" style="2" bestFit="1" customWidth="1"/>
    <col min="13314" max="13314" width="1.5703125" style="2" customWidth="1"/>
    <col min="13315" max="13315" width="9.42578125" style="2" bestFit="1" customWidth="1"/>
    <col min="13316" max="13316" width="15" style="2" customWidth="1"/>
    <col min="13317" max="13317" width="32.5703125" style="2" customWidth="1"/>
    <col min="13318" max="13318" width="10" style="2" bestFit="1" customWidth="1"/>
    <col min="13319" max="13319" width="10.140625" style="2" bestFit="1" customWidth="1"/>
    <col min="13320" max="13320" width="9.42578125" style="2" bestFit="1" customWidth="1"/>
    <col min="13321" max="13560" width="9.140625" style="2"/>
    <col min="13561" max="13561" width="20.5703125" style="2" customWidth="1"/>
    <col min="13562" max="13562" width="1.5703125" style="2" customWidth="1"/>
    <col min="13563" max="13563" width="4.5703125" style="2" customWidth="1"/>
    <col min="13564" max="13564" width="11.5703125" style="2" customWidth="1"/>
    <col min="13565" max="13565" width="45.5703125" style="2" customWidth="1"/>
    <col min="13566" max="13566" width="7.5703125" style="2" customWidth="1"/>
    <col min="13567" max="13568" width="12.5703125" style="2" customWidth="1"/>
    <col min="13569" max="13569" width="18.42578125" style="2" bestFit="1" customWidth="1"/>
    <col min="13570" max="13570" width="1.5703125" style="2" customWidth="1"/>
    <col min="13571" max="13571" width="9.42578125" style="2" bestFit="1" customWidth="1"/>
    <col min="13572" max="13572" width="15" style="2" customWidth="1"/>
    <col min="13573" max="13573" width="32.5703125" style="2" customWidth="1"/>
    <col min="13574" max="13574" width="10" style="2" bestFit="1" customWidth="1"/>
    <col min="13575" max="13575" width="10.140625" style="2" bestFit="1" customWidth="1"/>
    <col min="13576" max="13576" width="9.42578125" style="2" bestFit="1" customWidth="1"/>
    <col min="13577" max="13816" width="9.140625" style="2"/>
    <col min="13817" max="13817" width="20.5703125" style="2" customWidth="1"/>
    <col min="13818" max="13818" width="1.5703125" style="2" customWidth="1"/>
    <col min="13819" max="13819" width="4.5703125" style="2" customWidth="1"/>
    <col min="13820" max="13820" width="11.5703125" style="2" customWidth="1"/>
    <col min="13821" max="13821" width="45.5703125" style="2" customWidth="1"/>
    <col min="13822" max="13822" width="7.5703125" style="2" customWidth="1"/>
    <col min="13823" max="13824" width="12.5703125" style="2" customWidth="1"/>
    <col min="13825" max="13825" width="18.42578125" style="2" bestFit="1" customWidth="1"/>
    <col min="13826" max="13826" width="1.5703125" style="2" customWidth="1"/>
    <col min="13827" max="13827" width="9.42578125" style="2" bestFit="1" customWidth="1"/>
    <col min="13828" max="13828" width="15" style="2" customWidth="1"/>
    <col min="13829" max="13829" width="32.5703125" style="2" customWidth="1"/>
    <col min="13830" max="13830" width="10" style="2" bestFit="1" customWidth="1"/>
    <col min="13831" max="13831" width="10.140625" style="2" bestFit="1" customWidth="1"/>
    <col min="13832" max="13832" width="9.42578125" style="2" bestFit="1" customWidth="1"/>
    <col min="13833" max="14072" width="9.140625" style="2"/>
    <col min="14073" max="14073" width="20.5703125" style="2" customWidth="1"/>
    <col min="14074" max="14074" width="1.5703125" style="2" customWidth="1"/>
    <col min="14075" max="14075" width="4.5703125" style="2" customWidth="1"/>
    <col min="14076" max="14076" width="11.5703125" style="2" customWidth="1"/>
    <col min="14077" max="14077" width="45.5703125" style="2" customWidth="1"/>
    <col min="14078" max="14078" width="7.5703125" style="2" customWidth="1"/>
    <col min="14079" max="14080" width="12.5703125" style="2" customWidth="1"/>
    <col min="14081" max="14081" width="18.42578125" style="2" bestFit="1" customWidth="1"/>
    <col min="14082" max="14082" width="1.5703125" style="2" customWidth="1"/>
    <col min="14083" max="14083" width="9.42578125" style="2" bestFit="1" customWidth="1"/>
    <col min="14084" max="14084" width="15" style="2" customWidth="1"/>
    <col min="14085" max="14085" width="32.5703125" style="2" customWidth="1"/>
    <col min="14086" max="14086" width="10" style="2" bestFit="1" customWidth="1"/>
    <col min="14087" max="14087" width="10.140625" style="2" bestFit="1" customWidth="1"/>
    <col min="14088" max="14088" width="9.42578125" style="2" bestFit="1" customWidth="1"/>
    <col min="14089" max="14328" width="9.140625" style="2"/>
    <col min="14329" max="14329" width="20.5703125" style="2" customWidth="1"/>
    <col min="14330" max="14330" width="1.5703125" style="2" customWidth="1"/>
    <col min="14331" max="14331" width="4.5703125" style="2" customWidth="1"/>
    <col min="14332" max="14332" width="11.5703125" style="2" customWidth="1"/>
    <col min="14333" max="14333" width="45.5703125" style="2" customWidth="1"/>
    <col min="14334" max="14334" width="7.5703125" style="2" customWidth="1"/>
    <col min="14335" max="14336" width="12.5703125" style="2" customWidth="1"/>
    <col min="14337" max="14337" width="18.42578125" style="2" bestFit="1" customWidth="1"/>
    <col min="14338" max="14338" width="1.5703125" style="2" customWidth="1"/>
    <col min="14339" max="14339" width="9.42578125" style="2" bestFit="1" customWidth="1"/>
    <col min="14340" max="14340" width="15" style="2" customWidth="1"/>
    <col min="14341" max="14341" width="32.5703125" style="2" customWidth="1"/>
    <col min="14342" max="14342" width="10" style="2" bestFit="1" customWidth="1"/>
    <col min="14343" max="14343" width="10.140625" style="2" bestFit="1" customWidth="1"/>
    <col min="14344" max="14344" width="9.42578125" style="2" bestFit="1" customWidth="1"/>
    <col min="14345" max="14584" width="9.140625" style="2"/>
    <col min="14585" max="14585" width="20.5703125" style="2" customWidth="1"/>
    <col min="14586" max="14586" width="1.5703125" style="2" customWidth="1"/>
    <col min="14587" max="14587" width="4.5703125" style="2" customWidth="1"/>
    <col min="14588" max="14588" width="11.5703125" style="2" customWidth="1"/>
    <col min="14589" max="14589" width="45.5703125" style="2" customWidth="1"/>
    <col min="14590" max="14590" width="7.5703125" style="2" customWidth="1"/>
    <col min="14591" max="14592" width="12.5703125" style="2" customWidth="1"/>
    <col min="14593" max="14593" width="18.42578125" style="2" bestFit="1" customWidth="1"/>
    <col min="14594" max="14594" width="1.5703125" style="2" customWidth="1"/>
    <col min="14595" max="14595" width="9.42578125" style="2" bestFit="1" customWidth="1"/>
    <col min="14596" max="14596" width="15" style="2" customWidth="1"/>
    <col min="14597" max="14597" width="32.5703125" style="2" customWidth="1"/>
    <col min="14598" max="14598" width="10" style="2" bestFit="1" customWidth="1"/>
    <col min="14599" max="14599" width="10.140625" style="2" bestFit="1" customWidth="1"/>
    <col min="14600" max="14600" width="9.42578125" style="2" bestFit="1" customWidth="1"/>
    <col min="14601" max="14840" width="9.140625" style="2"/>
    <col min="14841" max="14841" width="20.5703125" style="2" customWidth="1"/>
    <col min="14842" max="14842" width="1.5703125" style="2" customWidth="1"/>
    <col min="14843" max="14843" width="4.5703125" style="2" customWidth="1"/>
    <col min="14844" max="14844" width="11.5703125" style="2" customWidth="1"/>
    <col min="14845" max="14845" width="45.5703125" style="2" customWidth="1"/>
    <col min="14846" max="14846" width="7.5703125" style="2" customWidth="1"/>
    <col min="14847" max="14848" width="12.5703125" style="2" customWidth="1"/>
    <col min="14849" max="14849" width="18.42578125" style="2" bestFit="1" customWidth="1"/>
    <col min="14850" max="14850" width="1.5703125" style="2" customWidth="1"/>
    <col min="14851" max="14851" width="9.42578125" style="2" bestFit="1" customWidth="1"/>
    <col min="14852" max="14852" width="15" style="2" customWidth="1"/>
    <col min="14853" max="14853" width="32.5703125" style="2" customWidth="1"/>
    <col min="14854" max="14854" width="10" style="2" bestFit="1" customWidth="1"/>
    <col min="14855" max="14855" width="10.140625" style="2" bestFit="1" customWidth="1"/>
    <col min="14856" max="14856" width="9.42578125" style="2" bestFit="1" customWidth="1"/>
    <col min="14857" max="15096" width="9.140625" style="2"/>
    <col min="15097" max="15097" width="20.5703125" style="2" customWidth="1"/>
    <col min="15098" max="15098" width="1.5703125" style="2" customWidth="1"/>
    <col min="15099" max="15099" width="4.5703125" style="2" customWidth="1"/>
    <col min="15100" max="15100" width="11.5703125" style="2" customWidth="1"/>
    <col min="15101" max="15101" width="45.5703125" style="2" customWidth="1"/>
    <col min="15102" max="15102" width="7.5703125" style="2" customWidth="1"/>
    <col min="15103" max="15104" width="12.5703125" style="2" customWidth="1"/>
    <col min="15105" max="15105" width="18.42578125" style="2" bestFit="1" customWidth="1"/>
    <col min="15106" max="15106" width="1.5703125" style="2" customWidth="1"/>
    <col min="15107" max="15107" width="9.42578125" style="2" bestFit="1" customWidth="1"/>
    <col min="15108" max="15108" width="15" style="2" customWidth="1"/>
    <col min="15109" max="15109" width="32.5703125" style="2" customWidth="1"/>
    <col min="15110" max="15110" width="10" style="2" bestFit="1" customWidth="1"/>
    <col min="15111" max="15111" width="10.140625" style="2" bestFit="1" customWidth="1"/>
    <col min="15112" max="15112" width="9.42578125" style="2" bestFit="1" customWidth="1"/>
    <col min="15113" max="15352" width="9.140625" style="2"/>
    <col min="15353" max="15353" width="20.5703125" style="2" customWidth="1"/>
    <col min="15354" max="15354" width="1.5703125" style="2" customWidth="1"/>
    <col min="15355" max="15355" width="4.5703125" style="2" customWidth="1"/>
    <col min="15356" max="15356" width="11.5703125" style="2" customWidth="1"/>
    <col min="15357" max="15357" width="45.5703125" style="2" customWidth="1"/>
    <col min="15358" max="15358" width="7.5703125" style="2" customWidth="1"/>
    <col min="15359" max="15360" width="12.5703125" style="2" customWidth="1"/>
    <col min="15361" max="15361" width="18.42578125" style="2" bestFit="1" customWidth="1"/>
    <col min="15362" max="15362" width="1.5703125" style="2" customWidth="1"/>
    <col min="15363" max="15363" width="9.42578125" style="2" bestFit="1" customWidth="1"/>
    <col min="15364" max="15364" width="15" style="2" customWidth="1"/>
    <col min="15365" max="15365" width="32.5703125" style="2" customWidth="1"/>
    <col min="15366" max="15366" width="10" style="2" bestFit="1" customWidth="1"/>
    <col min="15367" max="15367" width="10.140625" style="2" bestFit="1" customWidth="1"/>
    <col min="15368" max="15368" width="9.42578125" style="2" bestFit="1" customWidth="1"/>
    <col min="15369" max="15608" width="9.140625" style="2"/>
    <col min="15609" max="15609" width="20.5703125" style="2" customWidth="1"/>
    <col min="15610" max="15610" width="1.5703125" style="2" customWidth="1"/>
    <col min="15611" max="15611" width="4.5703125" style="2" customWidth="1"/>
    <col min="15612" max="15612" width="11.5703125" style="2" customWidth="1"/>
    <col min="15613" max="15613" width="45.5703125" style="2" customWidth="1"/>
    <col min="15614" max="15614" width="7.5703125" style="2" customWidth="1"/>
    <col min="15615" max="15616" width="12.5703125" style="2" customWidth="1"/>
    <col min="15617" max="15617" width="18.42578125" style="2" bestFit="1" customWidth="1"/>
    <col min="15618" max="15618" width="1.5703125" style="2" customWidth="1"/>
    <col min="15619" max="15619" width="9.42578125" style="2" bestFit="1" customWidth="1"/>
    <col min="15620" max="15620" width="15" style="2" customWidth="1"/>
    <col min="15621" max="15621" width="32.5703125" style="2" customWidth="1"/>
    <col min="15622" max="15622" width="10" style="2" bestFit="1" customWidth="1"/>
    <col min="15623" max="15623" width="10.140625" style="2" bestFit="1" customWidth="1"/>
    <col min="15624" max="15624" width="9.42578125" style="2" bestFit="1" customWidth="1"/>
    <col min="15625" max="15864" width="9.140625" style="2"/>
    <col min="15865" max="15865" width="20.5703125" style="2" customWidth="1"/>
    <col min="15866" max="15866" width="1.5703125" style="2" customWidth="1"/>
    <col min="15867" max="15867" width="4.5703125" style="2" customWidth="1"/>
    <col min="15868" max="15868" width="11.5703125" style="2" customWidth="1"/>
    <col min="15869" max="15869" width="45.5703125" style="2" customWidth="1"/>
    <col min="15870" max="15870" width="7.5703125" style="2" customWidth="1"/>
    <col min="15871" max="15872" width="12.5703125" style="2" customWidth="1"/>
    <col min="15873" max="15873" width="18.42578125" style="2" bestFit="1" customWidth="1"/>
    <col min="15874" max="15874" width="1.5703125" style="2" customWidth="1"/>
    <col min="15875" max="15875" width="9.42578125" style="2" bestFit="1" customWidth="1"/>
    <col min="15876" max="15876" width="15" style="2" customWidth="1"/>
    <col min="15877" max="15877" width="32.5703125" style="2" customWidth="1"/>
    <col min="15878" max="15878" width="10" style="2" bestFit="1" customWidth="1"/>
    <col min="15879" max="15879" width="10.140625" style="2" bestFit="1" customWidth="1"/>
    <col min="15880" max="15880" width="9.42578125" style="2" bestFit="1" customWidth="1"/>
    <col min="15881" max="16120" width="9.140625" style="2"/>
    <col min="16121" max="16121" width="20.5703125" style="2" customWidth="1"/>
    <col min="16122" max="16122" width="1.5703125" style="2" customWidth="1"/>
    <col min="16123" max="16123" width="4.5703125" style="2" customWidth="1"/>
    <col min="16124" max="16124" width="11.5703125" style="2" customWidth="1"/>
    <col min="16125" max="16125" width="45.5703125" style="2" customWidth="1"/>
    <col min="16126" max="16126" width="7.5703125" style="2" customWidth="1"/>
    <col min="16127" max="16128" width="12.5703125" style="2" customWidth="1"/>
    <col min="16129" max="16129" width="18.42578125" style="2" bestFit="1" customWidth="1"/>
    <col min="16130" max="16130" width="1.5703125" style="2" customWidth="1"/>
    <col min="16131" max="16131" width="9.42578125" style="2" bestFit="1" customWidth="1"/>
    <col min="16132" max="16132" width="15" style="2" customWidth="1"/>
    <col min="16133" max="16133" width="32.5703125" style="2" customWidth="1"/>
    <col min="16134" max="16134" width="10" style="2" bestFit="1" customWidth="1"/>
    <col min="16135" max="16135" width="10.140625" style="2" bestFit="1" customWidth="1"/>
    <col min="16136" max="16136" width="9.42578125" style="2" bestFit="1" customWidth="1"/>
    <col min="16137" max="16384" width="9.140625" style="2"/>
  </cols>
  <sheetData>
    <row r="1" spans="2:9" ht="28.5" customHeight="1" x14ac:dyDescent="0.25">
      <c r="C1" s="281" t="s">
        <v>343</v>
      </c>
      <c r="D1" s="281"/>
      <c r="E1" s="281"/>
      <c r="F1" s="1"/>
    </row>
    <row r="2" spans="2:9" ht="80.25" customHeight="1" x14ac:dyDescent="0.25">
      <c r="C2" s="297" t="s">
        <v>0</v>
      </c>
      <c r="D2" s="297"/>
      <c r="E2" s="297"/>
      <c r="F2" s="1"/>
    </row>
    <row r="3" spans="2:9" ht="26.45" customHeight="1" x14ac:dyDescent="0.25">
      <c r="C3" s="3" t="s">
        <v>1</v>
      </c>
      <c r="D3" s="282" t="s">
        <v>2</v>
      </c>
      <c r="E3" s="282"/>
      <c r="F3" s="282"/>
    </row>
    <row r="4" spans="2:9" ht="15" customHeight="1" x14ac:dyDescent="0.25">
      <c r="C4" s="3" t="s">
        <v>1</v>
      </c>
      <c r="D4" s="282" t="s">
        <v>344</v>
      </c>
      <c r="E4" s="282"/>
      <c r="F4" s="282"/>
    </row>
    <row r="5" spans="2:9" ht="15" customHeight="1" thickBot="1" x14ac:dyDescent="0.3">
      <c r="C5" s="241"/>
      <c r="D5" s="7"/>
      <c r="E5" s="8"/>
      <c r="F5" s="1"/>
    </row>
    <row r="6" spans="2:9" s="10" customFormat="1" ht="15" customHeight="1" thickTop="1" x14ac:dyDescent="0.25">
      <c r="C6" s="283" t="s">
        <v>4</v>
      </c>
      <c r="D6" s="287" t="s">
        <v>6</v>
      </c>
      <c r="E6" s="276" t="s">
        <v>9</v>
      </c>
      <c r="F6" s="9"/>
    </row>
    <row r="7" spans="2:9" s="10" customFormat="1" ht="27" customHeight="1" x14ac:dyDescent="0.25">
      <c r="C7" s="284"/>
      <c r="D7" s="288"/>
      <c r="E7" s="277"/>
      <c r="F7" s="9"/>
      <c r="I7" s="13"/>
    </row>
    <row r="8" spans="2:9" s="18" customFormat="1" ht="15" customHeight="1" x14ac:dyDescent="0.25">
      <c r="C8" s="242">
        <v>1</v>
      </c>
      <c r="D8" s="243">
        <v>2</v>
      </c>
      <c r="E8" s="244">
        <v>3</v>
      </c>
      <c r="F8" s="17"/>
    </row>
    <row r="9" spans="2:9" ht="39.950000000000003" customHeight="1" x14ac:dyDescent="0.25">
      <c r="B9" s="245"/>
      <c r="C9" s="246">
        <v>1</v>
      </c>
      <c r="D9" s="247" t="str">
        <f>[1]KO!C8</f>
        <v>CZĘŚĆ DROGOWA - DROGA DOCELOWA</v>
      </c>
      <c r="E9" s="72"/>
      <c r="F9" s="1"/>
      <c r="H9" s="54"/>
      <c r="I9" s="18"/>
    </row>
    <row r="10" spans="2:9" ht="39.950000000000003" customHeight="1" x14ac:dyDescent="0.25">
      <c r="B10" s="245"/>
      <c r="C10" s="248">
        <f>MAX($C$8:C9)+1</f>
        <v>2</v>
      </c>
      <c r="D10" s="247" t="str">
        <f>[1]KO!C104</f>
        <v>CZĘŚĆ MOSTOWA - MOST NA BELKACH TYPU KUJAN</v>
      </c>
      <c r="E10" s="72"/>
      <c r="F10" s="1"/>
      <c r="H10" s="54"/>
      <c r="I10" s="18"/>
    </row>
    <row r="11" spans="2:9" ht="39.950000000000003" customHeight="1" x14ac:dyDescent="0.25">
      <c r="B11" s="245"/>
      <c r="C11" s="248">
        <f>MAX($C$8:C10)+1</f>
        <v>3</v>
      </c>
      <c r="D11" s="247" t="str">
        <f>[1]KO!C199</f>
        <v>CZĘŚĆ DROGOWA - TELETECHNICZNA</v>
      </c>
      <c r="E11" s="72"/>
      <c r="F11" s="1"/>
      <c r="H11" s="54"/>
      <c r="I11" s="18"/>
    </row>
    <row r="12" spans="2:9" ht="39.950000000000003" customHeight="1" x14ac:dyDescent="0.25">
      <c r="B12" s="245"/>
      <c r="C12" s="248">
        <f>MAX($C$8:C11)+1</f>
        <v>4</v>
      </c>
      <c r="D12" s="247" t="str">
        <f>[1]KO!C216</f>
        <v>CZĘŚĆ DROGOWA - OBJAZD TYMCZASOWY</v>
      </c>
      <c r="E12" s="72"/>
      <c r="F12" s="1"/>
      <c r="H12" s="54"/>
      <c r="I12" s="18"/>
    </row>
    <row r="13" spans="2:9" ht="39.950000000000003" customHeight="1" x14ac:dyDescent="0.25">
      <c r="B13" s="245"/>
      <c r="C13" s="248">
        <f>MAX($C$8:C12)+1</f>
        <v>5</v>
      </c>
      <c r="D13" s="247" t="str">
        <f>[1]KO!C278</f>
        <v>CZĘŚĆ DROGOWA - MOST TYMCZASOWY</v>
      </c>
      <c r="E13" s="72"/>
      <c r="F13" s="1"/>
      <c r="H13" s="54"/>
      <c r="I13" s="18"/>
    </row>
    <row r="14" spans="2:9" ht="30" customHeight="1" x14ac:dyDescent="0.25">
      <c r="B14" s="245"/>
      <c r="C14" s="293" t="s">
        <v>153</v>
      </c>
      <c r="D14" s="294"/>
      <c r="E14" s="249"/>
      <c r="F14" s="1"/>
      <c r="I14" s="54"/>
    </row>
    <row r="15" spans="2:9" ht="30" customHeight="1" x14ac:dyDescent="0.25">
      <c r="B15" s="245"/>
      <c r="C15" s="293" t="s">
        <v>340</v>
      </c>
      <c r="D15" s="294"/>
      <c r="E15" s="249"/>
    </row>
    <row r="16" spans="2:9" ht="30" customHeight="1" thickBot="1" x14ac:dyDescent="0.3">
      <c r="B16" s="245"/>
      <c r="C16" s="295" t="s">
        <v>345</v>
      </c>
      <c r="D16" s="296"/>
      <c r="E16" s="250"/>
      <c r="I16" s="54"/>
    </row>
    <row r="17" spans="9:9" ht="13.5" thickTop="1" x14ac:dyDescent="0.25">
      <c r="I17" s="54"/>
    </row>
    <row r="19" spans="9:9" x14ac:dyDescent="0.25">
      <c r="I19" s="54"/>
    </row>
    <row r="48" spans="4:10" s="236" customFormat="1" ht="13.35" hidden="1" customHeight="1" x14ac:dyDescent="0.25">
      <c r="D48" s="238"/>
      <c r="E48" s="239"/>
      <c r="F48" s="2"/>
      <c r="G48" s="2"/>
      <c r="H48" s="2"/>
      <c r="I48" s="2"/>
      <c r="J48" s="2"/>
    </row>
  </sheetData>
  <mergeCells count="10">
    <mergeCell ref="C14:D14"/>
    <mergeCell ref="C15:D15"/>
    <mergeCell ref="C16:D16"/>
    <mergeCell ref="C1:E1"/>
    <mergeCell ref="C2:E2"/>
    <mergeCell ref="D3:F3"/>
    <mergeCell ref="D4:F4"/>
    <mergeCell ref="C6:C7"/>
    <mergeCell ref="D6:D7"/>
    <mergeCell ref="E6:E7"/>
  </mergeCells>
  <printOptions horizontalCentered="1"/>
  <pageMargins left="0.39370078740157483" right="0.19685039370078741" top="0.9055118110236221" bottom="0.70866141732283472" header="0.47244094488188981" footer="0.35433070866141736"/>
  <pageSetup paperSize="9" firstPageNumber="14" fitToHeight="3" orientation="portrait" useFirstPageNumber="1" r:id="rId1"/>
  <headerFooter scaleWithDoc="0" alignWithMargins="0"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KO</vt:lpstr>
      <vt:lpstr>KI ZZK</vt:lpstr>
      <vt:lpstr>'KI ZZK'!Obszar_wydruku</vt:lpstr>
      <vt:lpstr>KO!Obszar_wydruku</vt:lpstr>
      <vt:lpstr>'KI ZZK'!Tytuły_wydruku</vt:lpstr>
      <vt:lpstr>KO!Tytuły_wydruku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Aldebhar</dc:creator>
  <cp:lastModifiedBy>Paweł</cp:lastModifiedBy>
  <dcterms:created xsi:type="dcterms:W3CDTF">2026-01-22T19:04:41Z</dcterms:created>
  <dcterms:modified xsi:type="dcterms:W3CDTF">2026-01-30T08:37:00Z</dcterms:modified>
</cp:coreProperties>
</file>